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Sote-uudistus Marinin hallitus\Rahoitusjaosto\Maakuntalaskelmat\Maakuntalaskelmat julkaisu 8.12.2020\"/>
    </mc:Choice>
  </mc:AlternateContent>
  <bookViews>
    <workbookView xWindow="-110" yWindow="-110" windowWidth="38620" windowHeight="21220"/>
  </bookViews>
  <sheets>
    <sheet name="Info" sheetId="7" r:id="rId1"/>
    <sheet name="Social- och hälsovårdskostnader" sheetId="11" r:id="rId2"/>
    <sheet name="Räddningskostnader som överförs" sheetId="12" r:id="rId3"/>
    <sheet name="Kalkylerad finansiering av soci" sheetId="14" r:id="rId4"/>
    <sheet name="Kalkylerade finansieringen av r" sheetId="15" r:id="rId5"/>
    <sheet name="Sammanfattning och ändring jämf" sheetId="16" r:id="rId6"/>
    <sheet name="Övergångsperiod" sheetId="17" r:id="rId7"/>
    <sheet name="Bestämningsfaktorer" sheetId="19" r:id="rId8"/>
    <sheet name="Bestämningsfaktor_kommunvis" sheetId="20" r:id="rId9"/>
    <sheet name="Koefficienten för främjande av " sheetId="22" r:id="rId10"/>
    <sheet name="THL (2020) modeller" sheetId="8" r:id="rId11"/>
    <sheet name="Bestämningsfaktorer, Hälsovård" sheetId="26" r:id="rId12"/>
    <sheet name="Bestämningsfaktorer, Äldreomsor" sheetId="24" r:id="rId13"/>
    <sheet name="Bestämningsfaktorer, Socialvård" sheetId="25" r:id="rId14"/>
    <sheet name="Behovskoefficienter inom hälsov" sheetId="23" r:id="rId15"/>
    <sheet name="Sektorsvikter för hälsovården, " sheetId="9" r:id="rId1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7" l="1"/>
  <c r="A2" i="16"/>
  <c r="A2" i="15"/>
  <c r="A2" i="14"/>
  <c r="A2" i="12"/>
  <c r="A2" i="11"/>
  <c r="J8" i="23" l="1"/>
  <c r="J12" i="23"/>
  <c r="J16" i="23"/>
  <c r="J20" i="23"/>
  <c r="J24" i="23"/>
  <c r="J4" i="23"/>
  <c r="J3" i="23"/>
  <c r="J7" i="23"/>
  <c r="J11" i="23"/>
  <c r="J15" i="23"/>
  <c r="J19" i="23"/>
  <c r="J23" i="23"/>
  <c r="J5" i="23"/>
  <c r="J9" i="23"/>
  <c r="J13" i="23"/>
  <c r="J17" i="23"/>
  <c r="J21" i="23"/>
  <c r="J6" i="23"/>
  <c r="J10" i="23"/>
  <c r="J14" i="23"/>
  <c r="J18" i="23"/>
  <c r="J22" i="23"/>
  <c r="I30" i="19" l="1"/>
  <c r="H52" i="19"/>
  <c r="G52" i="19"/>
  <c r="D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52" i="19" l="1"/>
  <c r="D15" i="14"/>
  <c r="B8" i="15" l="1"/>
  <c r="E12" i="15" l="1"/>
  <c r="F14" i="12" l="1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13" i="12"/>
  <c r="F12" i="12" l="1"/>
  <c r="G13" i="12" s="1"/>
  <c r="J24" i="14" l="1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23" i="14"/>
  <c r="M14" i="11"/>
  <c r="F15" i="11"/>
  <c r="D14" i="11"/>
  <c r="J45" i="14" l="1"/>
  <c r="E15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23" i="14"/>
  <c r="H27" i="14"/>
  <c r="H29" i="14"/>
  <c r="H30" i="14"/>
  <c r="H31" i="14"/>
  <c r="H32" i="14"/>
  <c r="H34" i="14"/>
  <c r="H35" i="14"/>
  <c r="H36" i="14"/>
  <c r="H37" i="14"/>
  <c r="H38" i="14"/>
  <c r="H39" i="14"/>
  <c r="H42" i="14"/>
  <c r="H43" i="14"/>
  <c r="H44" i="14"/>
  <c r="F15" i="14" l="1"/>
  <c r="D4" i="22"/>
  <c r="E4" i="22"/>
  <c r="D5" i="22"/>
  <c r="E5" i="22"/>
  <c r="D6" i="22"/>
  <c r="E6" i="22"/>
  <c r="D7" i="22"/>
  <c r="E7" i="22"/>
  <c r="D8" i="22"/>
  <c r="E8" i="22"/>
  <c r="D9" i="22"/>
  <c r="E9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4" i="20"/>
  <c r="E4" i="20"/>
  <c r="F4" i="20"/>
  <c r="G4" i="20"/>
  <c r="H4" i="20"/>
  <c r="I4" i="20"/>
  <c r="M4" i="20"/>
  <c r="C30" i="19" s="1"/>
  <c r="N4" i="20"/>
  <c r="D4" i="19" s="1"/>
  <c r="H23" i="14" s="1"/>
  <c r="O4" i="20"/>
  <c r="P4" i="20"/>
  <c r="F4" i="19" s="1"/>
  <c r="G23" i="14" s="1"/>
  <c r="Q4" i="20"/>
  <c r="G4" i="19" s="1"/>
  <c r="R4" i="20"/>
  <c r="M5" i="20"/>
  <c r="C31" i="19" s="1"/>
  <c r="N5" i="20"/>
  <c r="D5" i="19" s="1"/>
  <c r="H24" i="14" s="1"/>
  <c r="O5" i="20"/>
  <c r="P5" i="20"/>
  <c r="Q5" i="20"/>
  <c r="R5" i="20"/>
  <c r="M6" i="20"/>
  <c r="C32" i="19" s="1"/>
  <c r="N6" i="20"/>
  <c r="D6" i="19" s="1"/>
  <c r="H25" i="14" s="1"/>
  <c r="O6" i="20"/>
  <c r="P6" i="20"/>
  <c r="F6" i="19" s="1"/>
  <c r="Q6" i="20"/>
  <c r="G6" i="19" s="1"/>
  <c r="R6" i="20"/>
  <c r="M7" i="20"/>
  <c r="C33" i="19" s="1"/>
  <c r="N7" i="20"/>
  <c r="D7" i="19" s="1"/>
  <c r="H26" i="14" s="1"/>
  <c r="O7" i="20"/>
  <c r="P7" i="20"/>
  <c r="Q7" i="20"/>
  <c r="G7" i="19" s="1"/>
  <c r="R7" i="20"/>
  <c r="M8" i="20"/>
  <c r="C34" i="19" s="1"/>
  <c r="N8" i="20"/>
  <c r="O8" i="20"/>
  <c r="P8" i="20"/>
  <c r="F8" i="19" s="1"/>
  <c r="Q8" i="20"/>
  <c r="G8" i="19" s="1"/>
  <c r="R8" i="20"/>
  <c r="M9" i="20"/>
  <c r="C35" i="19" s="1"/>
  <c r="N9" i="20"/>
  <c r="D9" i="19" s="1"/>
  <c r="H28" i="14" s="1"/>
  <c r="O9" i="20"/>
  <c r="P9" i="20"/>
  <c r="Q9" i="20"/>
  <c r="R9" i="20"/>
  <c r="M10" i="20"/>
  <c r="C36" i="19" s="1"/>
  <c r="N10" i="20"/>
  <c r="O10" i="20"/>
  <c r="P10" i="20"/>
  <c r="F10" i="19" s="1"/>
  <c r="G29" i="14" s="1"/>
  <c r="Q10" i="20"/>
  <c r="G10" i="19" s="1"/>
  <c r="R10" i="20"/>
  <c r="M11" i="20"/>
  <c r="C37" i="19" s="1"/>
  <c r="N11" i="20"/>
  <c r="O11" i="20"/>
  <c r="P11" i="20"/>
  <c r="Q11" i="20"/>
  <c r="G11" i="19" s="1"/>
  <c r="R11" i="20"/>
  <c r="M12" i="20"/>
  <c r="C38" i="19" s="1"/>
  <c r="N12" i="20"/>
  <c r="O12" i="20"/>
  <c r="P12" i="20"/>
  <c r="F12" i="19" s="1"/>
  <c r="Q12" i="20"/>
  <c r="G12" i="19" s="1"/>
  <c r="R12" i="20"/>
  <c r="M13" i="20"/>
  <c r="C39" i="19" s="1"/>
  <c r="N13" i="20"/>
  <c r="O13" i="20"/>
  <c r="P13" i="20"/>
  <c r="Q13" i="20"/>
  <c r="R13" i="20"/>
  <c r="M14" i="20"/>
  <c r="C40" i="19" s="1"/>
  <c r="N14" i="20"/>
  <c r="D14" i="19" s="1"/>
  <c r="H33" i="14" s="1"/>
  <c r="O14" i="20"/>
  <c r="P14" i="20"/>
  <c r="F14" i="19" s="1"/>
  <c r="Q14" i="20"/>
  <c r="G14" i="19" s="1"/>
  <c r="R14" i="20"/>
  <c r="M15" i="20"/>
  <c r="N15" i="20"/>
  <c r="O15" i="20"/>
  <c r="P15" i="20"/>
  <c r="Q15" i="20"/>
  <c r="G15" i="19" s="1"/>
  <c r="R15" i="20"/>
  <c r="M16" i="20"/>
  <c r="C42" i="19" s="1"/>
  <c r="N16" i="20"/>
  <c r="O16" i="20"/>
  <c r="P16" i="20"/>
  <c r="F16" i="19" s="1"/>
  <c r="G35" i="14" s="1"/>
  <c r="Q16" i="20"/>
  <c r="G16" i="19" s="1"/>
  <c r="R16" i="20"/>
  <c r="M17" i="20"/>
  <c r="N17" i="20"/>
  <c r="O17" i="20"/>
  <c r="P17" i="20"/>
  <c r="Q17" i="20"/>
  <c r="G17" i="19" s="1"/>
  <c r="R17" i="20"/>
  <c r="M18" i="20"/>
  <c r="C44" i="19" s="1"/>
  <c r="N18" i="20"/>
  <c r="O18" i="20"/>
  <c r="P18" i="20"/>
  <c r="F18" i="19" s="1"/>
  <c r="Q18" i="20"/>
  <c r="G18" i="19" s="1"/>
  <c r="R18" i="20"/>
  <c r="M19" i="20"/>
  <c r="N19" i="20"/>
  <c r="O19" i="20"/>
  <c r="P19" i="20"/>
  <c r="Q19" i="20"/>
  <c r="G19" i="19" s="1"/>
  <c r="R19" i="20"/>
  <c r="M20" i="20"/>
  <c r="C46" i="19" s="1"/>
  <c r="N20" i="20"/>
  <c r="O20" i="20"/>
  <c r="P20" i="20"/>
  <c r="F20" i="19" s="1"/>
  <c r="Q20" i="20"/>
  <c r="G20" i="19" s="1"/>
  <c r="R20" i="20"/>
  <c r="M21" i="20"/>
  <c r="C47" i="19" s="1"/>
  <c r="N21" i="20"/>
  <c r="D21" i="19" s="1"/>
  <c r="H40" i="14" s="1"/>
  <c r="O21" i="20"/>
  <c r="P21" i="20"/>
  <c r="Q21" i="20"/>
  <c r="G21" i="19" s="1"/>
  <c r="R21" i="20"/>
  <c r="M22" i="20"/>
  <c r="C48" i="19" s="1"/>
  <c r="N22" i="20"/>
  <c r="D22" i="19" s="1"/>
  <c r="H41" i="14" s="1"/>
  <c r="O22" i="20"/>
  <c r="P22" i="20"/>
  <c r="F22" i="19" s="1"/>
  <c r="G41" i="14" s="1"/>
  <c r="Q22" i="20"/>
  <c r="G22" i="19" s="1"/>
  <c r="R22" i="20"/>
  <c r="M23" i="20"/>
  <c r="N23" i="20"/>
  <c r="O23" i="20"/>
  <c r="P23" i="20"/>
  <c r="Q23" i="20"/>
  <c r="R23" i="20"/>
  <c r="M24" i="20"/>
  <c r="C50" i="19" s="1"/>
  <c r="N24" i="20"/>
  <c r="O24" i="20"/>
  <c r="P24" i="20"/>
  <c r="F24" i="19" s="1"/>
  <c r="Q24" i="20"/>
  <c r="G24" i="19" s="1"/>
  <c r="R24" i="20"/>
  <c r="M25" i="20"/>
  <c r="N25" i="20"/>
  <c r="O25" i="20"/>
  <c r="E25" i="19" s="1"/>
  <c r="L44" i="14" s="1"/>
  <c r="P25" i="20"/>
  <c r="Q25" i="20"/>
  <c r="G25" i="19" s="1"/>
  <c r="R25" i="20"/>
  <c r="C5" i="19"/>
  <c r="F5" i="19"/>
  <c r="G5" i="19"/>
  <c r="C7" i="19"/>
  <c r="F7" i="19"/>
  <c r="G26" i="14" s="1"/>
  <c r="C9" i="19"/>
  <c r="F9" i="19"/>
  <c r="G28" i="14" s="1"/>
  <c r="G9" i="19"/>
  <c r="F11" i="19"/>
  <c r="C12" i="19"/>
  <c r="F13" i="19"/>
  <c r="G32" i="14" s="1"/>
  <c r="F15" i="19"/>
  <c r="G34" i="14" s="1"/>
  <c r="F17" i="19"/>
  <c r="F19" i="19"/>
  <c r="G38" i="14" s="1"/>
  <c r="F21" i="19"/>
  <c r="G40" i="14" s="1"/>
  <c r="F23" i="19"/>
  <c r="G23" i="19"/>
  <c r="F25" i="19"/>
  <c r="G44" i="14" s="1"/>
  <c r="D12" i="12"/>
  <c r="E12" i="12"/>
  <c r="H12" i="12" s="1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E14" i="11"/>
  <c r="G14" i="11"/>
  <c r="H14" i="11"/>
  <c r="C15" i="11"/>
  <c r="I15" i="11"/>
  <c r="J15" i="11" s="1"/>
  <c r="C16" i="11"/>
  <c r="F16" i="11"/>
  <c r="I16" i="11"/>
  <c r="C17" i="11"/>
  <c r="F17" i="11"/>
  <c r="I17" i="11"/>
  <c r="C18" i="11"/>
  <c r="F18" i="11"/>
  <c r="I18" i="11"/>
  <c r="C19" i="11"/>
  <c r="F19" i="11"/>
  <c r="I19" i="11"/>
  <c r="C20" i="11"/>
  <c r="F20" i="11"/>
  <c r="I20" i="11"/>
  <c r="C21" i="11"/>
  <c r="F21" i="11"/>
  <c r="I21" i="11"/>
  <c r="C22" i="11"/>
  <c r="F22" i="11"/>
  <c r="I22" i="11"/>
  <c r="C23" i="11"/>
  <c r="F23" i="11"/>
  <c r="I23" i="11"/>
  <c r="C24" i="11"/>
  <c r="F24" i="11"/>
  <c r="I24" i="11"/>
  <c r="C25" i="11"/>
  <c r="F25" i="11"/>
  <c r="I25" i="11"/>
  <c r="C26" i="11"/>
  <c r="F26" i="11"/>
  <c r="I26" i="11"/>
  <c r="C27" i="11"/>
  <c r="F27" i="11"/>
  <c r="I27" i="11"/>
  <c r="C28" i="11"/>
  <c r="F28" i="11"/>
  <c r="I28" i="11"/>
  <c r="C29" i="11"/>
  <c r="F29" i="11"/>
  <c r="I29" i="11"/>
  <c r="C30" i="11"/>
  <c r="F30" i="11"/>
  <c r="I30" i="11"/>
  <c r="C31" i="11"/>
  <c r="F31" i="11"/>
  <c r="I31" i="11"/>
  <c r="C32" i="11"/>
  <c r="F32" i="11"/>
  <c r="I32" i="11"/>
  <c r="C33" i="11"/>
  <c r="F33" i="11"/>
  <c r="I33" i="11"/>
  <c r="C34" i="11"/>
  <c r="F34" i="11"/>
  <c r="I34" i="11"/>
  <c r="C35" i="11"/>
  <c r="F35" i="11"/>
  <c r="I35" i="11"/>
  <c r="C36" i="11"/>
  <c r="F36" i="11"/>
  <c r="I36" i="11"/>
  <c r="C37" i="11"/>
  <c r="F37" i="11"/>
  <c r="I37" i="11"/>
  <c r="C38" i="11"/>
  <c r="F38" i="11"/>
  <c r="I38" i="11"/>
  <c r="C39" i="11"/>
  <c r="F39" i="11"/>
  <c r="I39" i="11"/>
  <c r="C40" i="11"/>
  <c r="F40" i="11"/>
  <c r="I40" i="11"/>
  <c r="C41" i="11"/>
  <c r="F41" i="11"/>
  <c r="I41" i="11"/>
  <c r="C42" i="11"/>
  <c r="F42" i="11"/>
  <c r="I42" i="11"/>
  <c r="C43" i="11"/>
  <c r="F43" i="11"/>
  <c r="I43" i="11"/>
  <c r="C44" i="11"/>
  <c r="F44" i="11"/>
  <c r="I44" i="11"/>
  <c r="C45" i="11"/>
  <c r="F45" i="11"/>
  <c r="I45" i="11"/>
  <c r="C46" i="11"/>
  <c r="F46" i="11"/>
  <c r="I46" i="11"/>
  <c r="C47" i="11"/>
  <c r="F47" i="11"/>
  <c r="I47" i="11"/>
  <c r="C48" i="11"/>
  <c r="F48" i="11"/>
  <c r="I48" i="11"/>
  <c r="C49" i="11"/>
  <c r="F49" i="11"/>
  <c r="I49" i="11"/>
  <c r="C50" i="11"/>
  <c r="F50" i="11"/>
  <c r="I50" i="11"/>
  <c r="C51" i="11"/>
  <c r="F51" i="11"/>
  <c r="I51" i="11"/>
  <c r="C52" i="11"/>
  <c r="F52" i="11"/>
  <c r="I52" i="11"/>
  <c r="C53" i="11"/>
  <c r="F53" i="11"/>
  <c r="I53" i="11"/>
  <c r="C54" i="11"/>
  <c r="F54" i="11"/>
  <c r="I54" i="11"/>
  <c r="C55" i="11"/>
  <c r="F55" i="11"/>
  <c r="I55" i="11"/>
  <c r="C56" i="11"/>
  <c r="F56" i="11"/>
  <c r="I56" i="11"/>
  <c r="C57" i="11"/>
  <c r="F57" i="11"/>
  <c r="I57" i="11"/>
  <c r="C58" i="11"/>
  <c r="F58" i="11"/>
  <c r="I58" i="11"/>
  <c r="C59" i="11"/>
  <c r="F59" i="11"/>
  <c r="I59" i="11"/>
  <c r="C60" i="11"/>
  <c r="F60" i="11"/>
  <c r="I60" i="11"/>
  <c r="C61" i="11"/>
  <c r="F61" i="11"/>
  <c r="I61" i="11"/>
  <c r="C62" i="11"/>
  <c r="F62" i="11"/>
  <c r="I62" i="11"/>
  <c r="C63" i="11"/>
  <c r="F63" i="11"/>
  <c r="I63" i="11"/>
  <c r="C64" i="11"/>
  <c r="F64" i="11"/>
  <c r="I64" i="11"/>
  <c r="C65" i="11"/>
  <c r="F65" i="11"/>
  <c r="I65" i="11"/>
  <c r="C66" i="11"/>
  <c r="F66" i="11"/>
  <c r="I66" i="11"/>
  <c r="C67" i="11"/>
  <c r="F67" i="11"/>
  <c r="I67" i="11"/>
  <c r="C68" i="11"/>
  <c r="F68" i="11"/>
  <c r="I68" i="11"/>
  <c r="C69" i="11"/>
  <c r="F69" i="11"/>
  <c r="I69" i="11"/>
  <c r="C70" i="11"/>
  <c r="F70" i="11"/>
  <c r="I70" i="11"/>
  <c r="C71" i="11"/>
  <c r="F71" i="11"/>
  <c r="I71" i="11"/>
  <c r="C72" i="11"/>
  <c r="F72" i="11"/>
  <c r="I72" i="11"/>
  <c r="C73" i="11"/>
  <c r="F73" i="11"/>
  <c r="I73" i="11"/>
  <c r="C74" i="11"/>
  <c r="F74" i="11"/>
  <c r="I74" i="11"/>
  <c r="C75" i="11"/>
  <c r="F75" i="11"/>
  <c r="I75" i="11"/>
  <c r="C76" i="11"/>
  <c r="F76" i="11"/>
  <c r="I76" i="11"/>
  <c r="C77" i="11"/>
  <c r="F77" i="11"/>
  <c r="I77" i="11"/>
  <c r="C78" i="11"/>
  <c r="F78" i="11"/>
  <c r="I78" i="11"/>
  <c r="C79" i="11"/>
  <c r="F79" i="11"/>
  <c r="I79" i="11"/>
  <c r="C80" i="11"/>
  <c r="F80" i="11"/>
  <c r="I80" i="11"/>
  <c r="C81" i="11"/>
  <c r="F81" i="11"/>
  <c r="I81" i="11"/>
  <c r="C82" i="11"/>
  <c r="F82" i="11"/>
  <c r="I82" i="11"/>
  <c r="C83" i="11"/>
  <c r="F83" i="11"/>
  <c r="I83" i="11"/>
  <c r="C84" i="11"/>
  <c r="F84" i="11"/>
  <c r="I84" i="11"/>
  <c r="C85" i="11"/>
  <c r="F85" i="11"/>
  <c r="I85" i="11"/>
  <c r="C86" i="11"/>
  <c r="F86" i="11"/>
  <c r="I86" i="11"/>
  <c r="C87" i="11"/>
  <c r="F87" i="11"/>
  <c r="I87" i="11"/>
  <c r="C88" i="11"/>
  <c r="F88" i="11"/>
  <c r="I88" i="11"/>
  <c r="C89" i="11"/>
  <c r="F89" i="11"/>
  <c r="I89" i="11"/>
  <c r="C90" i="11"/>
  <c r="F90" i="11"/>
  <c r="I90" i="11"/>
  <c r="C91" i="11"/>
  <c r="F91" i="11"/>
  <c r="I91" i="11"/>
  <c r="C92" i="11"/>
  <c r="F92" i="11"/>
  <c r="I92" i="11"/>
  <c r="C93" i="11"/>
  <c r="F93" i="11"/>
  <c r="I93" i="11"/>
  <c r="C94" i="11"/>
  <c r="F94" i="11"/>
  <c r="I94" i="11"/>
  <c r="C95" i="11"/>
  <c r="F95" i="11"/>
  <c r="I95" i="11"/>
  <c r="C96" i="11"/>
  <c r="F96" i="11"/>
  <c r="I96" i="11"/>
  <c r="C97" i="11"/>
  <c r="F97" i="11"/>
  <c r="I97" i="11"/>
  <c r="C98" i="11"/>
  <c r="F98" i="11"/>
  <c r="I98" i="11"/>
  <c r="C99" i="11"/>
  <c r="F99" i="11"/>
  <c r="I99" i="11"/>
  <c r="C100" i="11"/>
  <c r="F100" i="11"/>
  <c r="I100" i="11"/>
  <c r="C101" i="11"/>
  <c r="F101" i="11"/>
  <c r="I101" i="11"/>
  <c r="C102" i="11"/>
  <c r="F102" i="11"/>
  <c r="I102" i="11"/>
  <c r="C103" i="11"/>
  <c r="F103" i="11"/>
  <c r="I103" i="11"/>
  <c r="C104" i="11"/>
  <c r="F104" i="11"/>
  <c r="I104" i="11"/>
  <c r="C105" i="11"/>
  <c r="F105" i="11"/>
  <c r="I105" i="11"/>
  <c r="C106" i="11"/>
  <c r="F106" i="11"/>
  <c r="I106" i="11"/>
  <c r="C107" i="11"/>
  <c r="F107" i="11"/>
  <c r="I107" i="11"/>
  <c r="C108" i="11"/>
  <c r="F108" i="11"/>
  <c r="I108" i="11"/>
  <c r="C109" i="11"/>
  <c r="F109" i="11"/>
  <c r="I109" i="11"/>
  <c r="C110" i="11"/>
  <c r="F110" i="11"/>
  <c r="I110" i="11"/>
  <c r="C111" i="11"/>
  <c r="F111" i="11"/>
  <c r="I111" i="11"/>
  <c r="C112" i="11"/>
  <c r="F112" i="11"/>
  <c r="I112" i="11"/>
  <c r="C113" i="11"/>
  <c r="F113" i="11"/>
  <c r="I113" i="11"/>
  <c r="C114" i="11"/>
  <c r="F114" i="11"/>
  <c r="I114" i="11"/>
  <c r="C115" i="11"/>
  <c r="F115" i="11"/>
  <c r="I115" i="11"/>
  <c r="C116" i="11"/>
  <c r="F116" i="11"/>
  <c r="I116" i="11"/>
  <c r="C117" i="11"/>
  <c r="F117" i="11"/>
  <c r="I117" i="11"/>
  <c r="C118" i="11"/>
  <c r="F118" i="11"/>
  <c r="I118" i="11"/>
  <c r="C119" i="11"/>
  <c r="F119" i="11"/>
  <c r="I119" i="11"/>
  <c r="C120" i="11"/>
  <c r="F120" i="11"/>
  <c r="I120" i="11"/>
  <c r="C121" i="11"/>
  <c r="F121" i="11"/>
  <c r="I121" i="11"/>
  <c r="C122" i="11"/>
  <c r="F122" i="11"/>
  <c r="I122" i="11"/>
  <c r="C123" i="11"/>
  <c r="F123" i="11"/>
  <c r="I123" i="11"/>
  <c r="C124" i="11"/>
  <c r="F124" i="11"/>
  <c r="I124" i="11"/>
  <c r="C125" i="11"/>
  <c r="F125" i="11"/>
  <c r="I125" i="11"/>
  <c r="C126" i="11"/>
  <c r="F126" i="11"/>
  <c r="I126" i="11"/>
  <c r="C127" i="11"/>
  <c r="F127" i="11"/>
  <c r="I127" i="11"/>
  <c r="C128" i="11"/>
  <c r="F128" i="11"/>
  <c r="I128" i="11"/>
  <c r="C129" i="11"/>
  <c r="F129" i="11"/>
  <c r="I129" i="11"/>
  <c r="C130" i="11"/>
  <c r="F130" i="11"/>
  <c r="I130" i="11"/>
  <c r="C131" i="11"/>
  <c r="F131" i="11"/>
  <c r="I131" i="11"/>
  <c r="C132" i="11"/>
  <c r="F132" i="11"/>
  <c r="I132" i="11"/>
  <c r="C133" i="11"/>
  <c r="F133" i="11"/>
  <c r="I133" i="11"/>
  <c r="C134" i="11"/>
  <c r="F134" i="11"/>
  <c r="I134" i="11"/>
  <c r="C135" i="11"/>
  <c r="F135" i="11"/>
  <c r="I135" i="11"/>
  <c r="C136" i="11"/>
  <c r="F136" i="11"/>
  <c r="I136" i="11"/>
  <c r="C137" i="11"/>
  <c r="F137" i="11"/>
  <c r="I137" i="11"/>
  <c r="C138" i="11"/>
  <c r="F138" i="11"/>
  <c r="I138" i="11"/>
  <c r="C139" i="11"/>
  <c r="F139" i="11"/>
  <c r="I139" i="11"/>
  <c r="C140" i="11"/>
  <c r="F140" i="11"/>
  <c r="I140" i="11"/>
  <c r="C141" i="11"/>
  <c r="F141" i="11"/>
  <c r="I141" i="11"/>
  <c r="C142" i="11"/>
  <c r="F142" i="11"/>
  <c r="I142" i="11"/>
  <c r="C143" i="11"/>
  <c r="F143" i="11"/>
  <c r="I143" i="11"/>
  <c r="C144" i="11"/>
  <c r="F144" i="11"/>
  <c r="I144" i="11"/>
  <c r="C145" i="11"/>
  <c r="F145" i="11"/>
  <c r="I145" i="11"/>
  <c r="C146" i="11"/>
  <c r="F146" i="11"/>
  <c r="I146" i="11"/>
  <c r="C147" i="11"/>
  <c r="F147" i="11"/>
  <c r="I147" i="11"/>
  <c r="C148" i="11"/>
  <c r="F148" i="11"/>
  <c r="I148" i="11"/>
  <c r="C149" i="11"/>
  <c r="F149" i="11"/>
  <c r="I149" i="11"/>
  <c r="C150" i="11"/>
  <c r="F150" i="11"/>
  <c r="I150" i="11"/>
  <c r="C151" i="11"/>
  <c r="F151" i="11"/>
  <c r="I151" i="11"/>
  <c r="C152" i="11"/>
  <c r="F152" i="11"/>
  <c r="I152" i="11"/>
  <c r="C153" i="11"/>
  <c r="F153" i="11"/>
  <c r="I153" i="11"/>
  <c r="C154" i="11"/>
  <c r="F154" i="11"/>
  <c r="I154" i="11"/>
  <c r="C155" i="11"/>
  <c r="F155" i="11"/>
  <c r="I155" i="11"/>
  <c r="C156" i="11"/>
  <c r="F156" i="11"/>
  <c r="I156" i="11"/>
  <c r="C157" i="11"/>
  <c r="F157" i="11"/>
  <c r="I157" i="11"/>
  <c r="C158" i="11"/>
  <c r="F158" i="11"/>
  <c r="I158" i="11"/>
  <c r="C159" i="11"/>
  <c r="F159" i="11"/>
  <c r="I159" i="11"/>
  <c r="C160" i="11"/>
  <c r="F160" i="11"/>
  <c r="I160" i="11"/>
  <c r="C161" i="11"/>
  <c r="F161" i="11"/>
  <c r="I161" i="11"/>
  <c r="C162" i="11"/>
  <c r="F162" i="11"/>
  <c r="I162" i="11"/>
  <c r="C163" i="11"/>
  <c r="F163" i="11"/>
  <c r="I163" i="11"/>
  <c r="C164" i="11"/>
  <c r="F164" i="11"/>
  <c r="I164" i="11"/>
  <c r="C165" i="11"/>
  <c r="F165" i="11"/>
  <c r="I165" i="11"/>
  <c r="C166" i="11"/>
  <c r="F166" i="11"/>
  <c r="I166" i="11"/>
  <c r="C167" i="11"/>
  <c r="F167" i="11"/>
  <c r="I167" i="11"/>
  <c r="C168" i="11"/>
  <c r="F168" i="11"/>
  <c r="I168" i="11"/>
  <c r="C169" i="11"/>
  <c r="F169" i="11"/>
  <c r="I169" i="11"/>
  <c r="C170" i="11"/>
  <c r="F170" i="11"/>
  <c r="I170" i="11"/>
  <c r="C171" i="11"/>
  <c r="F171" i="11"/>
  <c r="I171" i="11"/>
  <c r="C172" i="11"/>
  <c r="F172" i="11"/>
  <c r="I172" i="11"/>
  <c r="C173" i="11"/>
  <c r="F173" i="11"/>
  <c r="I173" i="11"/>
  <c r="C174" i="11"/>
  <c r="F174" i="11"/>
  <c r="I174" i="11"/>
  <c r="C175" i="11"/>
  <c r="F175" i="11"/>
  <c r="I175" i="11"/>
  <c r="C176" i="11"/>
  <c r="F176" i="11"/>
  <c r="I176" i="11"/>
  <c r="C177" i="11"/>
  <c r="F177" i="11"/>
  <c r="I177" i="11"/>
  <c r="C178" i="11"/>
  <c r="F178" i="11"/>
  <c r="I178" i="11"/>
  <c r="C179" i="11"/>
  <c r="F179" i="11"/>
  <c r="I179" i="11"/>
  <c r="C180" i="11"/>
  <c r="F180" i="11"/>
  <c r="I180" i="11"/>
  <c r="C181" i="11"/>
  <c r="F181" i="11"/>
  <c r="I181" i="11"/>
  <c r="C182" i="11"/>
  <c r="F182" i="11"/>
  <c r="I182" i="11"/>
  <c r="C183" i="11"/>
  <c r="F183" i="11"/>
  <c r="I183" i="11"/>
  <c r="C184" i="11"/>
  <c r="F184" i="11"/>
  <c r="I184" i="11"/>
  <c r="C185" i="11"/>
  <c r="F185" i="11"/>
  <c r="I185" i="11"/>
  <c r="C186" i="11"/>
  <c r="F186" i="11"/>
  <c r="I186" i="11"/>
  <c r="C187" i="11"/>
  <c r="F187" i="11"/>
  <c r="I187" i="11"/>
  <c r="C188" i="11"/>
  <c r="F188" i="11"/>
  <c r="I188" i="11"/>
  <c r="C189" i="11"/>
  <c r="F189" i="11"/>
  <c r="I189" i="11"/>
  <c r="C190" i="11"/>
  <c r="F190" i="11"/>
  <c r="I190" i="11"/>
  <c r="C191" i="11"/>
  <c r="F191" i="11"/>
  <c r="I191" i="11"/>
  <c r="C192" i="11"/>
  <c r="F192" i="11"/>
  <c r="I192" i="11"/>
  <c r="C193" i="11"/>
  <c r="F193" i="11"/>
  <c r="I193" i="11"/>
  <c r="C194" i="11"/>
  <c r="F194" i="11"/>
  <c r="I194" i="11"/>
  <c r="C195" i="11"/>
  <c r="F195" i="11"/>
  <c r="I195" i="11"/>
  <c r="C196" i="11"/>
  <c r="F196" i="11"/>
  <c r="I196" i="11"/>
  <c r="C197" i="11"/>
  <c r="F197" i="11"/>
  <c r="I197" i="11"/>
  <c r="C198" i="11"/>
  <c r="F198" i="11"/>
  <c r="I198" i="11"/>
  <c r="C199" i="11"/>
  <c r="F199" i="11"/>
  <c r="I199" i="11"/>
  <c r="C200" i="11"/>
  <c r="F200" i="11"/>
  <c r="I200" i="11"/>
  <c r="C201" i="11"/>
  <c r="F201" i="11"/>
  <c r="I201" i="11"/>
  <c r="C202" i="11"/>
  <c r="F202" i="11"/>
  <c r="I202" i="11"/>
  <c r="C203" i="11"/>
  <c r="F203" i="11"/>
  <c r="I203" i="11"/>
  <c r="C204" i="11"/>
  <c r="F204" i="11"/>
  <c r="I204" i="11"/>
  <c r="C205" i="11"/>
  <c r="F205" i="11"/>
  <c r="I205" i="11"/>
  <c r="C206" i="11"/>
  <c r="F206" i="11"/>
  <c r="I206" i="11"/>
  <c r="C207" i="11"/>
  <c r="F207" i="11"/>
  <c r="I207" i="11"/>
  <c r="C208" i="11"/>
  <c r="F208" i="11"/>
  <c r="I208" i="11"/>
  <c r="C209" i="11"/>
  <c r="F209" i="11"/>
  <c r="I209" i="11"/>
  <c r="C210" i="11"/>
  <c r="F210" i="11"/>
  <c r="I210" i="11"/>
  <c r="C211" i="11"/>
  <c r="F211" i="11"/>
  <c r="I211" i="11"/>
  <c r="C212" i="11"/>
  <c r="F212" i="11"/>
  <c r="I212" i="11"/>
  <c r="C213" i="11"/>
  <c r="F213" i="11"/>
  <c r="I213" i="11"/>
  <c r="C214" i="11"/>
  <c r="F214" i="11"/>
  <c r="I214" i="11"/>
  <c r="C215" i="11"/>
  <c r="F215" i="11"/>
  <c r="I215" i="11"/>
  <c r="C216" i="11"/>
  <c r="F216" i="11"/>
  <c r="I216" i="11"/>
  <c r="C217" i="11"/>
  <c r="F217" i="11"/>
  <c r="I217" i="11"/>
  <c r="C218" i="11"/>
  <c r="F218" i="11"/>
  <c r="I218" i="11"/>
  <c r="C219" i="11"/>
  <c r="F219" i="11"/>
  <c r="I219" i="11"/>
  <c r="C220" i="11"/>
  <c r="F220" i="11"/>
  <c r="I220" i="11"/>
  <c r="C221" i="11"/>
  <c r="F221" i="11"/>
  <c r="I221" i="11"/>
  <c r="C222" i="11"/>
  <c r="F222" i="11"/>
  <c r="I222" i="11"/>
  <c r="C223" i="11"/>
  <c r="F223" i="11"/>
  <c r="I223" i="11"/>
  <c r="C224" i="11"/>
  <c r="F224" i="11"/>
  <c r="I224" i="11"/>
  <c r="C225" i="11"/>
  <c r="F225" i="11"/>
  <c r="I225" i="11"/>
  <c r="C226" i="11"/>
  <c r="F226" i="11"/>
  <c r="I226" i="11"/>
  <c r="C227" i="11"/>
  <c r="F227" i="11"/>
  <c r="I227" i="11"/>
  <c r="C228" i="11"/>
  <c r="F228" i="11"/>
  <c r="I228" i="11"/>
  <c r="C229" i="11"/>
  <c r="F229" i="11"/>
  <c r="I229" i="11"/>
  <c r="C230" i="11"/>
  <c r="F230" i="11"/>
  <c r="I230" i="11"/>
  <c r="C231" i="11"/>
  <c r="F231" i="11"/>
  <c r="I231" i="11"/>
  <c r="C232" i="11"/>
  <c r="F232" i="11"/>
  <c r="I232" i="11"/>
  <c r="C233" i="11"/>
  <c r="F233" i="11"/>
  <c r="I233" i="11"/>
  <c r="C234" i="11"/>
  <c r="F234" i="11"/>
  <c r="I234" i="11"/>
  <c r="C235" i="11"/>
  <c r="F235" i="11"/>
  <c r="I235" i="11"/>
  <c r="C236" i="11"/>
  <c r="F236" i="11"/>
  <c r="I236" i="11"/>
  <c r="C237" i="11"/>
  <c r="F237" i="11"/>
  <c r="I237" i="11"/>
  <c r="C238" i="11"/>
  <c r="F238" i="11"/>
  <c r="I238" i="11"/>
  <c r="C239" i="11"/>
  <c r="F239" i="11"/>
  <c r="I239" i="11"/>
  <c r="C240" i="11"/>
  <c r="F240" i="11"/>
  <c r="I240" i="11"/>
  <c r="C241" i="11"/>
  <c r="F241" i="11"/>
  <c r="I241" i="11"/>
  <c r="C242" i="11"/>
  <c r="F242" i="11"/>
  <c r="I242" i="11"/>
  <c r="C243" i="11"/>
  <c r="F243" i="11"/>
  <c r="I243" i="11"/>
  <c r="C244" i="11"/>
  <c r="F244" i="11"/>
  <c r="I244" i="11"/>
  <c r="C245" i="11"/>
  <c r="F245" i="11"/>
  <c r="I245" i="11"/>
  <c r="C246" i="11"/>
  <c r="F246" i="11"/>
  <c r="I246" i="11"/>
  <c r="C247" i="11"/>
  <c r="F247" i="11"/>
  <c r="I247" i="11"/>
  <c r="C248" i="11"/>
  <c r="F248" i="11"/>
  <c r="I248" i="11"/>
  <c r="C249" i="11"/>
  <c r="F249" i="11"/>
  <c r="I249" i="11"/>
  <c r="C250" i="11"/>
  <c r="F250" i="11"/>
  <c r="I250" i="11"/>
  <c r="C251" i="11"/>
  <c r="F251" i="11"/>
  <c r="I251" i="11"/>
  <c r="C252" i="11"/>
  <c r="F252" i="11"/>
  <c r="I252" i="11"/>
  <c r="C253" i="11"/>
  <c r="F253" i="11"/>
  <c r="I253" i="11"/>
  <c r="C254" i="11"/>
  <c r="F254" i="11"/>
  <c r="I254" i="11"/>
  <c r="C255" i="11"/>
  <c r="F255" i="11"/>
  <c r="I255" i="11"/>
  <c r="C256" i="11"/>
  <c r="F256" i="11"/>
  <c r="I256" i="11"/>
  <c r="C257" i="11"/>
  <c r="F257" i="11"/>
  <c r="I257" i="11"/>
  <c r="C258" i="11"/>
  <c r="F258" i="11"/>
  <c r="I258" i="11"/>
  <c r="C259" i="11"/>
  <c r="F259" i="11"/>
  <c r="I259" i="11"/>
  <c r="C260" i="11"/>
  <c r="F260" i="11"/>
  <c r="I260" i="11"/>
  <c r="C261" i="11"/>
  <c r="F261" i="11"/>
  <c r="I261" i="11"/>
  <c r="C262" i="11"/>
  <c r="F262" i="11"/>
  <c r="I262" i="11"/>
  <c r="C263" i="11"/>
  <c r="F263" i="11"/>
  <c r="I263" i="11"/>
  <c r="C264" i="11"/>
  <c r="F264" i="11"/>
  <c r="I264" i="11"/>
  <c r="C265" i="11"/>
  <c r="F265" i="11"/>
  <c r="I265" i="11"/>
  <c r="C266" i="11"/>
  <c r="F266" i="11"/>
  <c r="I266" i="11"/>
  <c r="C267" i="11"/>
  <c r="F267" i="11"/>
  <c r="I267" i="11"/>
  <c r="C268" i="11"/>
  <c r="F268" i="11"/>
  <c r="I268" i="11"/>
  <c r="C269" i="11"/>
  <c r="F269" i="11"/>
  <c r="I269" i="11"/>
  <c r="C270" i="11"/>
  <c r="F270" i="11"/>
  <c r="I270" i="11"/>
  <c r="C271" i="11"/>
  <c r="F271" i="11"/>
  <c r="I271" i="11"/>
  <c r="C272" i="11"/>
  <c r="F272" i="11"/>
  <c r="I272" i="11"/>
  <c r="C273" i="11"/>
  <c r="F273" i="11"/>
  <c r="I273" i="11"/>
  <c r="C274" i="11"/>
  <c r="F274" i="11"/>
  <c r="I274" i="11"/>
  <c r="C275" i="11"/>
  <c r="F275" i="11"/>
  <c r="I275" i="11"/>
  <c r="C276" i="11"/>
  <c r="F276" i="11"/>
  <c r="I276" i="11"/>
  <c r="C277" i="11"/>
  <c r="F277" i="11"/>
  <c r="I277" i="11"/>
  <c r="C278" i="11"/>
  <c r="F278" i="11"/>
  <c r="I278" i="11"/>
  <c r="C279" i="11"/>
  <c r="F279" i="11"/>
  <c r="I279" i="11"/>
  <c r="C280" i="11"/>
  <c r="F280" i="11"/>
  <c r="I280" i="11"/>
  <c r="C281" i="11"/>
  <c r="F281" i="11"/>
  <c r="I281" i="11"/>
  <c r="C282" i="11"/>
  <c r="F282" i="11"/>
  <c r="I282" i="11"/>
  <c r="C283" i="11"/>
  <c r="F283" i="11"/>
  <c r="I283" i="11"/>
  <c r="C284" i="11"/>
  <c r="F284" i="11"/>
  <c r="I284" i="11"/>
  <c r="C285" i="11"/>
  <c r="F285" i="11"/>
  <c r="I285" i="11"/>
  <c r="C286" i="11"/>
  <c r="F286" i="11"/>
  <c r="I286" i="11"/>
  <c r="C287" i="11"/>
  <c r="F287" i="11"/>
  <c r="I287" i="11"/>
  <c r="C288" i="11"/>
  <c r="F288" i="11"/>
  <c r="I288" i="11"/>
  <c r="C289" i="11"/>
  <c r="F289" i="11"/>
  <c r="I289" i="11"/>
  <c r="C290" i="11"/>
  <c r="F290" i="11"/>
  <c r="I290" i="11"/>
  <c r="C291" i="11"/>
  <c r="F291" i="11"/>
  <c r="I291" i="11"/>
  <c r="C292" i="11"/>
  <c r="F292" i="11"/>
  <c r="I292" i="11"/>
  <c r="C293" i="11"/>
  <c r="F293" i="11"/>
  <c r="I293" i="11"/>
  <c r="C294" i="11"/>
  <c r="F294" i="11"/>
  <c r="I294" i="11"/>
  <c r="C295" i="11"/>
  <c r="F295" i="11"/>
  <c r="I295" i="11"/>
  <c r="C296" i="11"/>
  <c r="F296" i="11"/>
  <c r="I296" i="11"/>
  <c r="C297" i="11"/>
  <c r="F297" i="11"/>
  <c r="I297" i="11"/>
  <c r="C298" i="11"/>
  <c r="F298" i="11"/>
  <c r="I298" i="11"/>
  <c r="C299" i="11"/>
  <c r="F299" i="11"/>
  <c r="I299" i="11"/>
  <c r="C300" i="11"/>
  <c r="F300" i="11"/>
  <c r="I300" i="11"/>
  <c r="C301" i="11"/>
  <c r="F301" i="11"/>
  <c r="I301" i="11"/>
  <c r="C302" i="11"/>
  <c r="F302" i="11"/>
  <c r="I302" i="11"/>
  <c r="C303" i="11"/>
  <c r="F303" i="11"/>
  <c r="I303" i="11"/>
  <c r="C304" i="11"/>
  <c r="F304" i="11"/>
  <c r="I304" i="11"/>
  <c r="C305" i="11"/>
  <c r="F305" i="11"/>
  <c r="I305" i="11"/>
  <c r="C306" i="11"/>
  <c r="F306" i="11"/>
  <c r="I306" i="11"/>
  <c r="C307" i="11"/>
  <c r="F307" i="11"/>
  <c r="I307" i="11"/>
  <c r="C308" i="11"/>
  <c r="F308" i="11"/>
  <c r="I308" i="11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BA22" i="9"/>
  <c r="BB22" i="9"/>
  <c r="BC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BA29" i="9"/>
  <c r="BB29" i="9"/>
  <c r="BC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BA32" i="9"/>
  <c r="BB32" i="9"/>
  <c r="BC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BA33" i="9"/>
  <c r="BB33" i="9"/>
  <c r="BC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BA34" i="9"/>
  <c r="BB34" i="9"/>
  <c r="BC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BA36" i="9"/>
  <c r="BB36" i="9"/>
  <c r="BC36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BA37" i="9"/>
  <c r="BB37" i="9"/>
  <c r="BC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Z38" i="9"/>
  <c r="BA38" i="9"/>
  <c r="BB38" i="9"/>
  <c r="BC38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N46" i="9"/>
  <c r="BF46" i="9"/>
  <c r="BG46" i="9"/>
  <c r="BH46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CZ46" i="9"/>
  <c r="DA46" i="9"/>
  <c r="DB46" i="9"/>
  <c r="DC46" i="9"/>
  <c r="DD46" i="9"/>
  <c r="DE46" i="9"/>
  <c r="DF46" i="9"/>
  <c r="DG46" i="9"/>
  <c r="DJ46" i="9"/>
  <c r="DK46" i="9"/>
  <c r="DL46" i="9"/>
  <c r="DM46" i="9"/>
  <c r="DN46" i="9"/>
  <c r="DO46" i="9"/>
  <c r="DP46" i="9"/>
  <c r="DQ46" i="9"/>
  <c r="DR46" i="9"/>
  <c r="DS46" i="9"/>
  <c r="DT46" i="9"/>
  <c r="DU46" i="9"/>
  <c r="DV46" i="9"/>
  <c r="DW46" i="9"/>
  <c r="DX46" i="9"/>
  <c r="DY46" i="9"/>
  <c r="DZ46" i="9"/>
  <c r="EA46" i="9"/>
  <c r="EB46" i="9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R46" i="9"/>
  <c r="ES46" i="9"/>
  <c r="ET46" i="9"/>
  <c r="EU46" i="9"/>
  <c r="EV46" i="9"/>
  <c r="EW46" i="9"/>
  <c r="EX46" i="9"/>
  <c r="EY46" i="9"/>
  <c r="EZ46" i="9"/>
  <c r="FA46" i="9"/>
  <c r="FB46" i="9"/>
  <c r="FC46" i="9"/>
  <c r="FD46" i="9"/>
  <c r="FE46" i="9"/>
  <c r="FF46" i="9"/>
  <c r="FG46" i="9"/>
  <c r="FH46" i="9"/>
  <c r="FI46" i="9"/>
  <c r="FJ46" i="9"/>
  <c r="FK46" i="9"/>
  <c r="BF47" i="9"/>
  <c r="BG47" i="9"/>
  <c r="BH47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U47" i="9"/>
  <c r="BV47" i="9"/>
  <c r="BW47" i="9"/>
  <c r="BX47" i="9"/>
  <c r="BY47" i="9"/>
  <c r="BZ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CX47" i="9"/>
  <c r="CY47" i="9"/>
  <c r="CZ47" i="9"/>
  <c r="DA47" i="9"/>
  <c r="DB47" i="9"/>
  <c r="DC47" i="9"/>
  <c r="DD47" i="9"/>
  <c r="DE47" i="9"/>
  <c r="DF47" i="9"/>
  <c r="DG47" i="9"/>
  <c r="DJ47" i="9"/>
  <c r="DK47" i="9"/>
  <c r="DL47" i="9"/>
  <c r="DM47" i="9"/>
  <c r="DN47" i="9"/>
  <c r="DO47" i="9"/>
  <c r="DP47" i="9"/>
  <c r="DQ47" i="9"/>
  <c r="DR47" i="9"/>
  <c r="DS47" i="9"/>
  <c r="DT47" i="9"/>
  <c r="DU47" i="9"/>
  <c r="DV47" i="9"/>
  <c r="DW47" i="9"/>
  <c r="DX47" i="9"/>
  <c r="DY47" i="9"/>
  <c r="DZ47" i="9"/>
  <c r="EA47" i="9"/>
  <c r="EB47" i="9"/>
  <c r="EC47" i="9"/>
  <c r="ED47" i="9"/>
  <c r="EE47" i="9"/>
  <c r="EF47" i="9"/>
  <c r="EG47" i="9"/>
  <c r="EH47" i="9"/>
  <c r="EI47" i="9"/>
  <c r="EJ47" i="9"/>
  <c r="EK47" i="9"/>
  <c r="EL47" i="9"/>
  <c r="EM47" i="9"/>
  <c r="EN47" i="9"/>
  <c r="EO47" i="9"/>
  <c r="EP47" i="9"/>
  <c r="EQ47" i="9"/>
  <c r="ER47" i="9"/>
  <c r="ES47" i="9"/>
  <c r="ET47" i="9"/>
  <c r="EU47" i="9"/>
  <c r="EV47" i="9"/>
  <c r="EW47" i="9"/>
  <c r="EX47" i="9"/>
  <c r="EY47" i="9"/>
  <c r="EZ47" i="9"/>
  <c r="FA47" i="9"/>
  <c r="FB47" i="9"/>
  <c r="FC47" i="9"/>
  <c r="FD47" i="9"/>
  <c r="FE47" i="9"/>
  <c r="FF47" i="9"/>
  <c r="FG47" i="9"/>
  <c r="FH47" i="9"/>
  <c r="FI47" i="9"/>
  <c r="FJ47" i="9"/>
  <c r="FK47" i="9"/>
  <c r="C5" i="8"/>
  <c r="E5" i="8" s="1"/>
  <c r="J5" i="8"/>
  <c r="L5" i="8" s="1"/>
  <c r="Q5" i="8"/>
  <c r="S5" i="8" s="1"/>
  <c r="C6" i="8"/>
  <c r="E6" i="8" s="1"/>
  <c r="J6" i="8"/>
  <c r="L6" i="8" s="1"/>
  <c r="Q6" i="8"/>
  <c r="S6" i="8" s="1"/>
  <c r="C7" i="8"/>
  <c r="E7" i="8" s="1"/>
  <c r="J7" i="8"/>
  <c r="L7" i="8" s="1"/>
  <c r="Q7" i="8"/>
  <c r="S7" i="8" s="1"/>
  <c r="C8" i="8"/>
  <c r="E8" i="8" s="1"/>
  <c r="J8" i="8"/>
  <c r="L8" i="8" s="1"/>
  <c r="Q8" i="8"/>
  <c r="S8" i="8" s="1"/>
  <c r="C9" i="8"/>
  <c r="E9" i="8" s="1"/>
  <c r="Q9" i="8"/>
  <c r="S9" i="8" s="1"/>
  <c r="C10" i="8"/>
  <c r="E10" i="8" s="1"/>
  <c r="J9" i="8"/>
  <c r="L9" i="8" s="1"/>
  <c r="Q10" i="8"/>
  <c r="S10" i="8" s="1"/>
  <c r="C11" i="8"/>
  <c r="E11" i="8" s="1"/>
  <c r="J10" i="8"/>
  <c r="L10" i="8" s="1"/>
  <c r="Q11" i="8"/>
  <c r="S11" i="8" s="1"/>
  <c r="C12" i="8"/>
  <c r="E12" i="8" s="1"/>
  <c r="J11" i="8"/>
  <c r="L11" i="8" s="1"/>
  <c r="Q12" i="8"/>
  <c r="S12" i="8" s="1"/>
  <c r="C13" i="8"/>
  <c r="E13" i="8" s="1"/>
  <c r="J12" i="8"/>
  <c r="L12" i="8" s="1"/>
  <c r="C14" i="8"/>
  <c r="E14" i="8" s="1"/>
  <c r="J13" i="8"/>
  <c r="L13" i="8" s="1"/>
  <c r="Q13" i="8"/>
  <c r="S13" i="8" s="1"/>
  <c r="C15" i="8"/>
  <c r="E15" i="8" s="1"/>
  <c r="J14" i="8"/>
  <c r="L14" i="8" s="1"/>
  <c r="Q14" i="8"/>
  <c r="S14" i="8" s="1"/>
  <c r="J15" i="8"/>
  <c r="L15" i="8" s="1"/>
  <c r="Q15" i="8"/>
  <c r="S15" i="8" s="1"/>
  <c r="C16" i="8"/>
  <c r="E16" i="8" s="1"/>
  <c r="J16" i="8"/>
  <c r="L16" i="8" s="1"/>
  <c r="Q16" i="8"/>
  <c r="S16" i="8" s="1"/>
  <c r="C17" i="8"/>
  <c r="E17" i="8" s="1"/>
  <c r="J17" i="8"/>
  <c r="L17" i="8" s="1"/>
  <c r="Q17" i="8"/>
  <c r="S17" i="8" s="1"/>
  <c r="C18" i="8"/>
  <c r="E18" i="8" s="1"/>
  <c r="J18" i="8"/>
  <c r="L18" i="8" s="1"/>
  <c r="Q18" i="8"/>
  <c r="S18" i="8" s="1"/>
  <c r="C19" i="8"/>
  <c r="E19" i="8" s="1"/>
  <c r="J19" i="8"/>
  <c r="L19" i="8" s="1"/>
  <c r="Q19" i="8"/>
  <c r="S19" i="8" s="1"/>
  <c r="C20" i="8"/>
  <c r="E20" i="8" s="1"/>
  <c r="J20" i="8"/>
  <c r="L20" i="8" s="1"/>
  <c r="Q20" i="8"/>
  <c r="S20" i="8" s="1"/>
  <c r="C21" i="8"/>
  <c r="E21" i="8" s="1"/>
  <c r="J21" i="8"/>
  <c r="L21" i="8" s="1"/>
  <c r="Q21" i="8"/>
  <c r="S21" i="8" s="1"/>
  <c r="C22" i="8"/>
  <c r="E22" i="8" s="1"/>
  <c r="J22" i="8"/>
  <c r="L22" i="8" s="1"/>
  <c r="Q22" i="8"/>
  <c r="S22" i="8" s="1"/>
  <c r="C23" i="8"/>
  <c r="E23" i="8" s="1"/>
  <c r="J23" i="8"/>
  <c r="L23" i="8" s="1"/>
  <c r="Q23" i="8"/>
  <c r="S23" i="8" s="1"/>
  <c r="C24" i="8"/>
  <c r="E24" i="8" s="1"/>
  <c r="J24" i="8"/>
  <c r="L24" i="8" s="1"/>
  <c r="Q24" i="8"/>
  <c r="S24" i="8" s="1"/>
  <c r="C25" i="8"/>
  <c r="E25" i="8" s="1"/>
  <c r="J25" i="8"/>
  <c r="L25" i="8" s="1"/>
  <c r="Q25" i="8"/>
  <c r="S25" i="8" s="1"/>
  <c r="C26" i="8"/>
  <c r="E26" i="8" s="1"/>
  <c r="J26" i="8"/>
  <c r="L26" i="8" s="1"/>
  <c r="Q26" i="8"/>
  <c r="S26" i="8" s="1"/>
  <c r="C27" i="8"/>
  <c r="E27" i="8" s="1"/>
  <c r="J27" i="8"/>
  <c r="L27" i="8" s="1"/>
  <c r="Q27" i="8"/>
  <c r="S27" i="8" s="1"/>
  <c r="C28" i="8"/>
  <c r="E28" i="8" s="1"/>
  <c r="J28" i="8"/>
  <c r="L28" i="8" s="1"/>
  <c r="Q28" i="8"/>
  <c r="S28" i="8" s="1"/>
  <c r="C29" i="8"/>
  <c r="E29" i="8" s="1"/>
  <c r="J29" i="8"/>
  <c r="L29" i="8" s="1"/>
  <c r="Q29" i="8"/>
  <c r="S29" i="8" s="1"/>
  <c r="C30" i="8"/>
  <c r="E30" i="8" s="1"/>
  <c r="Q30" i="8"/>
  <c r="S30" i="8" s="1"/>
  <c r="C31" i="8"/>
  <c r="E31" i="8" s="1"/>
  <c r="Q31" i="8"/>
  <c r="S31" i="8" s="1"/>
  <c r="C32" i="8"/>
  <c r="E32" i="8" s="1"/>
  <c r="C33" i="8"/>
  <c r="E33" i="8" s="1"/>
  <c r="C34" i="8"/>
  <c r="E34" i="8" s="1"/>
  <c r="C35" i="8"/>
  <c r="E35" i="8" s="1"/>
  <c r="C36" i="8"/>
  <c r="E36" i="8" s="1"/>
  <c r="C37" i="8"/>
  <c r="E37" i="8" s="1"/>
  <c r="I35" i="8"/>
  <c r="P35" i="8"/>
  <c r="C38" i="8"/>
  <c r="E38" i="8" s="1"/>
  <c r="C39" i="8"/>
  <c r="E39" i="8" s="1"/>
  <c r="C40" i="8"/>
  <c r="E40" i="8" s="1"/>
  <c r="C41" i="8"/>
  <c r="E41" i="8" s="1"/>
  <c r="C42" i="8"/>
  <c r="E42" i="8" s="1"/>
  <c r="C43" i="8"/>
  <c r="E43" i="8" s="1"/>
  <c r="C44" i="8"/>
  <c r="E44" i="8" s="1"/>
  <c r="C45" i="8"/>
  <c r="E45" i="8" s="1"/>
  <c r="C46" i="8"/>
  <c r="E46" i="8" s="1"/>
  <c r="C47" i="8"/>
  <c r="E47" i="8" s="1"/>
  <c r="C48" i="8"/>
  <c r="E48" i="8" s="1"/>
  <c r="C49" i="8"/>
  <c r="E49" i="8" s="1"/>
  <c r="C50" i="8"/>
  <c r="E50" i="8" s="1"/>
  <c r="C51" i="8"/>
  <c r="E51" i="8" s="1"/>
  <c r="C52" i="8"/>
  <c r="E52" i="8" s="1"/>
  <c r="C53" i="8"/>
  <c r="E53" i="8" s="1"/>
  <c r="C54" i="8"/>
  <c r="E54" i="8" s="1"/>
  <c r="C55" i="8"/>
  <c r="E55" i="8" s="1"/>
  <c r="C56" i="8"/>
  <c r="E56" i="8" s="1"/>
  <c r="C57" i="8"/>
  <c r="E57" i="8" s="1"/>
  <c r="C58" i="8"/>
  <c r="E58" i="8" s="1"/>
  <c r="C59" i="8"/>
  <c r="E59" i="8" s="1"/>
  <c r="C60" i="8"/>
  <c r="E60" i="8" s="1"/>
  <c r="C61" i="8"/>
  <c r="E61" i="8" s="1"/>
  <c r="C62" i="8"/>
  <c r="E62" i="8" s="1"/>
  <c r="C63" i="8"/>
  <c r="E63" i="8" s="1"/>
  <c r="C64" i="8"/>
  <c r="E64" i="8" s="1"/>
  <c r="C65" i="8"/>
  <c r="E65" i="8" s="1"/>
  <c r="C66" i="8"/>
  <c r="E66" i="8" s="1"/>
  <c r="C67" i="8"/>
  <c r="E67" i="8" s="1"/>
  <c r="C68" i="8"/>
  <c r="E68" i="8" s="1"/>
  <c r="C69" i="8"/>
  <c r="E69" i="8" s="1"/>
  <c r="C70" i="8"/>
  <c r="E70" i="8" s="1"/>
  <c r="C71" i="8"/>
  <c r="E71" i="8" s="1"/>
  <c r="C72" i="8"/>
  <c r="E72" i="8" s="1"/>
  <c r="C73" i="8"/>
  <c r="E73" i="8" s="1"/>
  <c r="C74" i="8"/>
  <c r="E74" i="8" s="1"/>
  <c r="C75" i="8"/>
  <c r="E75" i="8" s="1"/>
  <c r="C76" i="8"/>
  <c r="E76" i="8" s="1"/>
  <c r="C77" i="8"/>
  <c r="E77" i="8" s="1"/>
  <c r="C78" i="8"/>
  <c r="E78" i="8" s="1"/>
  <c r="C79" i="8"/>
  <c r="E79" i="8" s="1"/>
  <c r="C80" i="8"/>
  <c r="E80" i="8" s="1"/>
  <c r="C81" i="8"/>
  <c r="E81" i="8" s="1"/>
  <c r="C82" i="8"/>
  <c r="E82" i="8" s="1"/>
  <c r="C83" i="8"/>
  <c r="E83" i="8" s="1"/>
  <c r="C84" i="8"/>
  <c r="E84" i="8" s="1"/>
  <c r="C85" i="8"/>
  <c r="E85" i="8" s="1"/>
  <c r="C86" i="8"/>
  <c r="E86" i="8" s="1"/>
  <c r="C87" i="8"/>
  <c r="E87" i="8" s="1"/>
  <c r="C88" i="8"/>
  <c r="E88" i="8" s="1"/>
  <c r="C89" i="8"/>
  <c r="E89" i="8" s="1"/>
  <c r="C90" i="8"/>
  <c r="E90" i="8" s="1"/>
  <c r="C91" i="8"/>
  <c r="E91" i="8" s="1"/>
  <c r="C92" i="8"/>
  <c r="E92" i="8" s="1"/>
  <c r="C93" i="8"/>
  <c r="E93" i="8" s="1"/>
  <c r="C94" i="8"/>
  <c r="E94" i="8" s="1"/>
  <c r="C95" i="8"/>
  <c r="E95" i="8" s="1"/>
  <c r="C96" i="8"/>
  <c r="E96" i="8" s="1"/>
  <c r="B100" i="8"/>
  <c r="C24" i="19" l="1"/>
  <c r="C21" i="19"/>
  <c r="BC47" i="9"/>
  <c r="AY47" i="9"/>
  <c r="AU47" i="9"/>
  <c r="AQ47" i="9"/>
  <c r="AQ48" i="9" s="1"/>
  <c r="AM47" i="9"/>
  <c r="AI47" i="9"/>
  <c r="AE47" i="9"/>
  <c r="W47" i="9"/>
  <c r="W48" i="9" s="1"/>
  <c r="S47" i="9"/>
  <c r="O47" i="9"/>
  <c r="K47" i="9"/>
  <c r="K48" i="9" s="1"/>
  <c r="G47" i="9"/>
  <c r="G48" i="9" s="1"/>
  <c r="C47" i="9"/>
  <c r="BC46" i="9"/>
  <c r="AY46" i="9"/>
  <c r="AU46" i="9"/>
  <c r="AQ46" i="9"/>
  <c r="AM46" i="9"/>
  <c r="AI46" i="9"/>
  <c r="AE46" i="9"/>
  <c r="AA46" i="9"/>
  <c r="W46" i="9"/>
  <c r="S46" i="9"/>
  <c r="O46" i="9"/>
  <c r="K46" i="9"/>
  <c r="G46" i="9"/>
  <c r="C46" i="9"/>
  <c r="P47" i="9"/>
  <c r="BB46" i="9"/>
  <c r="AX46" i="9"/>
  <c r="AT46" i="9"/>
  <c r="AP46" i="9"/>
  <c r="AL46" i="9"/>
  <c r="AH46" i="9"/>
  <c r="AD46" i="9"/>
  <c r="Z46" i="9"/>
  <c r="V46" i="9"/>
  <c r="R46" i="9"/>
  <c r="J46" i="9"/>
  <c r="F46" i="9"/>
  <c r="C4" i="19"/>
  <c r="C11" i="17" s="1"/>
  <c r="C20" i="19"/>
  <c r="C80" i="16" s="1"/>
  <c r="FJ48" i="9"/>
  <c r="FF48" i="9"/>
  <c r="EX48" i="9"/>
  <c r="EP48" i="9"/>
  <c r="EL48" i="9"/>
  <c r="EH48" i="9"/>
  <c r="ED48" i="9"/>
  <c r="DZ48" i="9"/>
  <c r="DR48" i="9"/>
  <c r="DJ48" i="9"/>
  <c r="CZ48" i="9"/>
  <c r="CV48" i="9"/>
  <c r="CR48" i="9"/>
  <c r="CJ48" i="9"/>
  <c r="CB48" i="9"/>
  <c r="BX48" i="9"/>
  <c r="BT48" i="9"/>
  <c r="BP48" i="9"/>
  <c r="BL48" i="9"/>
  <c r="C22" i="19"/>
  <c r="C29" i="17" s="1"/>
  <c r="E50" i="19"/>
  <c r="J50" i="19"/>
  <c r="C14" i="19"/>
  <c r="C47" i="16" s="1"/>
  <c r="C10" i="19"/>
  <c r="C17" i="17" s="1"/>
  <c r="E46" i="19"/>
  <c r="J46" i="19"/>
  <c r="E42" i="19"/>
  <c r="J42" i="19"/>
  <c r="E40" i="19"/>
  <c r="J40" i="19"/>
  <c r="E38" i="19"/>
  <c r="J38" i="19"/>
  <c r="E36" i="19"/>
  <c r="J36" i="19"/>
  <c r="E34" i="19"/>
  <c r="J34" i="19"/>
  <c r="E32" i="19"/>
  <c r="J32" i="19"/>
  <c r="C16" i="19"/>
  <c r="C76" i="16" s="1"/>
  <c r="C8" i="19"/>
  <c r="C41" i="16" s="1"/>
  <c r="C25" i="19"/>
  <c r="C51" i="19"/>
  <c r="E47" i="19"/>
  <c r="J47" i="19"/>
  <c r="C19" i="19"/>
  <c r="C45" i="19"/>
  <c r="E39" i="19"/>
  <c r="J39" i="19"/>
  <c r="E48" i="19"/>
  <c r="J48" i="19"/>
  <c r="J44" i="19"/>
  <c r="E44" i="19"/>
  <c r="E30" i="19"/>
  <c r="J30" i="19"/>
  <c r="C23" i="19"/>
  <c r="C22" i="23" s="1"/>
  <c r="C49" i="19"/>
  <c r="C17" i="19"/>
  <c r="C43" i="19"/>
  <c r="C15" i="19"/>
  <c r="C48" i="16" s="1"/>
  <c r="C41" i="19"/>
  <c r="E37" i="19"/>
  <c r="J37" i="19"/>
  <c r="E35" i="19"/>
  <c r="J35" i="19"/>
  <c r="E33" i="19"/>
  <c r="J33" i="19"/>
  <c r="E31" i="19"/>
  <c r="J31" i="19"/>
  <c r="C18" i="19"/>
  <c r="C37" i="14" s="1"/>
  <c r="C11" i="19"/>
  <c r="C10" i="23" s="1"/>
  <c r="C6" i="19"/>
  <c r="C66" i="16" s="1"/>
  <c r="C40" i="16"/>
  <c r="C67" i="16"/>
  <c r="C45" i="16"/>
  <c r="C72" i="16"/>
  <c r="C37" i="16"/>
  <c r="C81" i="16"/>
  <c r="C54" i="16"/>
  <c r="C65" i="16"/>
  <c r="C38" i="16"/>
  <c r="C85" i="16"/>
  <c r="C58" i="16"/>
  <c r="C52" i="16"/>
  <c r="C79" i="16"/>
  <c r="C77" i="16"/>
  <c r="C50" i="16"/>
  <c r="C57" i="16"/>
  <c r="C84" i="16"/>
  <c r="C53" i="16"/>
  <c r="C69" i="16"/>
  <c r="C42" i="16"/>
  <c r="C78" i="16"/>
  <c r="C51" i="16"/>
  <c r="C44" i="16"/>
  <c r="FI48" i="9"/>
  <c r="FE48" i="9"/>
  <c r="FA48" i="9"/>
  <c r="EW48" i="9"/>
  <c r="ES48" i="9"/>
  <c r="EO48" i="9"/>
  <c r="EK48" i="9"/>
  <c r="EG48" i="9"/>
  <c r="EC48" i="9"/>
  <c r="DY48" i="9"/>
  <c r="DU48" i="9"/>
  <c r="DQ48" i="9"/>
  <c r="DM48" i="9"/>
  <c r="DG48" i="9"/>
  <c r="DC48" i="9"/>
  <c r="CY48" i="9"/>
  <c r="CU48" i="9"/>
  <c r="CQ48" i="9"/>
  <c r="CM48" i="9"/>
  <c r="CI48" i="9"/>
  <c r="CE48" i="9"/>
  <c r="CA48" i="9"/>
  <c r="BW48" i="9"/>
  <c r="BS48" i="9"/>
  <c r="BO48" i="9"/>
  <c r="BK48" i="9"/>
  <c r="BG48" i="9"/>
  <c r="DD48" i="9"/>
  <c r="BB47" i="9"/>
  <c r="AX47" i="9"/>
  <c r="AT47" i="9"/>
  <c r="AP47" i="9"/>
  <c r="AP48" i="9" s="1"/>
  <c r="AL47" i="9"/>
  <c r="AH47" i="9"/>
  <c r="AD47" i="9"/>
  <c r="AD48" i="9" s="1"/>
  <c r="Z47" i="9"/>
  <c r="Z48" i="9" s="1"/>
  <c r="V47" i="9"/>
  <c r="R47" i="9"/>
  <c r="N47" i="9"/>
  <c r="J47" i="9"/>
  <c r="J48" i="9" s="1"/>
  <c r="F47" i="9"/>
  <c r="AN47" i="9"/>
  <c r="X47" i="9"/>
  <c r="FH48" i="9"/>
  <c r="FD48" i="9"/>
  <c r="EZ48" i="9"/>
  <c r="EV48" i="9"/>
  <c r="ER48" i="9"/>
  <c r="EN48" i="9"/>
  <c r="EJ48" i="9"/>
  <c r="EF48" i="9"/>
  <c r="EB48" i="9"/>
  <c r="DX48" i="9"/>
  <c r="DT48" i="9"/>
  <c r="DP48" i="9"/>
  <c r="DL48" i="9"/>
  <c r="DF48" i="9"/>
  <c r="DB48" i="9"/>
  <c r="CX48" i="9"/>
  <c r="CT48" i="9"/>
  <c r="CP48" i="9"/>
  <c r="CL48" i="9"/>
  <c r="CH48" i="9"/>
  <c r="CD48" i="9"/>
  <c r="BZ48" i="9"/>
  <c r="BV48" i="9"/>
  <c r="BR48" i="9"/>
  <c r="BN48" i="9"/>
  <c r="BJ48" i="9"/>
  <c r="BF48" i="9"/>
  <c r="AO46" i="9"/>
  <c r="AV47" i="9"/>
  <c r="AF47" i="9"/>
  <c r="H47" i="9"/>
  <c r="FB48" i="9"/>
  <c r="ET48" i="9"/>
  <c r="DV48" i="9"/>
  <c r="DN48" i="9"/>
  <c r="CN48" i="9"/>
  <c r="CF48" i="9"/>
  <c r="BH48" i="9"/>
  <c r="AA47" i="9"/>
  <c r="AA48" i="9" s="1"/>
  <c r="AY48" i="9"/>
  <c r="S48" i="9"/>
  <c r="C48" i="9"/>
  <c r="AS46" i="9"/>
  <c r="AC46" i="9"/>
  <c r="Y46" i="9"/>
  <c r="I46" i="9"/>
  <c r="AZ47" i="9"/>
  <c r="AR47" i="9"/>
  <c r="AJ47" i="9"/>
  <c r="AB47" i="9"/>
  <c r="T47" i="9"/>
  <c r="L47" i="9"/>
  <c r="D47" i="9"/>
  <c r="B47" i="9"/>
  <c r="B46" i="9"/>
  <c r="BC48" i="9"/>
  <c r="AM48" i="9"/>
  <c r="BA46" i="9"/>
  <c r="AK46" i="9"/>
  <c r="U46" i="9"/>
  <c r="M46" i="9"/>
  <c r="AW46" i="9"/>
  <c r="AG46" i="9"/>
  <c r="Q46" i="9"/>
  <c r="E46" i="9"/>
  <c r="BB48" i="9"/>
  <c r="AT48" i="9"/>
  <c r="AL48" i="9"/>
  <c r="V48" i="9"/>
  <c r="AZ46" i="9"/>
  <c r="AR46" i="9"/>
  <c r="AR48" i="9" s="1"/>
  <c r="AJ46" i="9"/>
  <c r="AB46" i="9"/>
  <c r="P46" i="9"/>
  <c r="D46" i="9"/>
  <c r="FK48" i="9"/>
  <c r="FG48" i="9"/>
  <c r="FC48" i="9"/>
  <c r="EY48" i="9"/>
  <c r="EU48" i="9"/>
  <c r="EQ48" i="9"/>
  <c r="EM48" i="9"/>
  <c r="EI48" i="9"/>
  <c r="EE48" i="9"/>
  <c r="EA48" i="9"/>
  <c r="DW48" i="9"/>
  <c r="DS48" i="9"/>
  <c r="DO48" i="9"/>
  <c r="DK48" i="9"/>
  <c r="DE48" i="9"/>
  <c r="DA48" i="9"/>
  <c r="CW48" i="9"/>
  <c r="CS48" i="9"/>
  <c r="CO48" i="9"/>
  <c r="CK48" i="9"/>
  <c r="CG48" i="9"/>
  <c r="CC48" i="9"/>
  <c r="BY48" i="9"/>
  <c r="BU48" i="9"/>
  <c r="BQ48" i="9"/>
  <c r="BM48" i="9"/>
  <c r="BI48" i="9"/>
  <c r="BA47" i="9"/>
  <c r="AW47" i="9"/>
  <c r="AS47" i="9"/>
  <c r="AO47" i="9"/>
  <c r="AK47" i="9"/>
  <c r="AK48" i="9" s="1"/>
  <c r="AG47" i="9"/>
  <c r="AC47" i="9"/>
  <c r="Y47" i="9"/>
  <c r="U47" i="9"/>
  <c r="Q47" i="9"/>
  <c r="M47" i="9"/>
  <c r="I47" i="9"/>
  <c r="E47" i="9"/>
  <c r="AX48" i="9"/>
  <c r="AH48" i="9"/>
  <c r="R48" i="9"/>
  <c r="N48" i="9"/>
  <c r="B68" i="9" s="1"/>
  <c r="F48" i="9"/>
  <c r="AV46" i="9"/>
  <c r="AN46" i="9"/>
  <c r="AN48" i="9" s="1"/>
  <c r="AF46" i="9"/>
  <c r="X46" i="9"/>
  <c r="T46" i="9"/>
  <c r="L46" i="9"/>
  <c r="H46" i="9"/>
  <c r="C23" i="23"/>
  <c r="C19" i="23"/>
  <c r="C11" i="23"/>
  <c r="C8" i="23"/>
  <c r="C3" i="23"/>
  <c r="C6" i="23"/>
  <c r="C20" i="23"/>
  <c r="C4" i="23"/>
  <c r="C24" i="23"/>
  <c r="C38" i="14"/>
  <c r="C18" i="23"/>
  <c r="C16" i="23"/>
  <c r="C17" i="23"/>
  <c r="E98" i="8"/>
  <c r="H13" i="12"/>
  <c r="A8" i="15"/>
  <c r="F23" i="22"/>
  <c r="F19" i="22"/>
  <c r="F15" i="22"/>
  <c r="F11" i="22"/>
  <c r="F5" i="22"/>
  <c r="F25" i="22"/>
  <c r="F21" i="22"/>
  <c r="F17" i="22"/>
  <c r="F13" i="22"/>
  <c r="F9" i="22"/>
  <c r="F7" i="22"/>
  <c r="F24" i="22"/>
  <c r="F22" i="22"/>
  <c r="F20" i="22"/>
  <c r="F18" i="22"/>
  <c r="F16" i="22"/>
  <c r="F14" i="22"/>
  <c r="F12" i="22"/>
  <c r="F10" i="22"/>
  <c r="F8" i="22"/>
  <c r="F6" i="22"/>
  <c r="F4" i="22"/>
  <c r="C13" i="16"/>
  <c r="C70" i="17"/>
  <c r="C14" i="17"/>
  <c r="C43" i="17"/>
  <c r="C27" i="17"/>
  <c r="C27" i="16"/>
  <c r="C84" i="17"/>
  <c r="C57" i="17"/>
  <c r="C28" i="17"/>
  <c r="C18" i="16"/>
  <c r="C75" i="17"/>
  <c r="C19" i="17"/>
  <c r="C48" i="17"/>
  <c r="C15" i="16"/>
  <c r="C72" i="17"/>
  <c r="C45" i="17"/>
  <c r="C16" i="17"/>
  <c r="C67" i="17"/>
  <c r="C40" i="17"/>
  <c r="C30" i="16"/>
  <c r="C87" i="17"/>
  <c r="C31" i="17"/>
  <c r="C60" i="17"/>
  <c r="C58" i="17"/>
  <c r="C24" i="16"/>
  <c r="C81" i="17"/>
  <c r="C54" i="17"/>
  <c r="C25" i="17"/>
  <c r="C11" i="16"/>
  <c r="C68" i="17"/>
  <c r="C41" i="17"/>
  <c r="C12" i="17"/>
  <c r="C31" i="16"/>
  <c r="C88" i="17"/>
  <c r="C61" i="17"/>
  <c r="C32" i="17"/>
  <c r="C25" i="16"/>
  <c r="C82" i="17"/>
  <c r="C26" i="17"/>
  <c r="C55" i="17"/>
  <c r="C23" i="16"/>
  <c r="C80" i="17"/>
  <c r="C53" i="17"/>
  <c r="C24" i="17"/>
  <c r="H20" i="19"/>
  <c r="H21" i="19"/>
  <c r="H12" i="19"/>
  <c r="H9" i="19"/>
  <c r="H4" i="19"/>
  <c r="H7" i="19"/>
  <c r="H24" i="19"/>
  <c r="H18" i="19"/>
  <c r="H5" i="19"/>
  <c r="H25" i="19"/>
  <c r="H19" i="19"/>
  <c r="H17" i="19"/>
  <c r="J287" i="11"/>
  <c r="J283" i="11"/>
  <c r="J255" i="11"/>
  <c r="J251" i="11"/>
  <c r="J231" i="11"/>
  <c r="J227" i="11"/>
  <c r="J206" i="11"/>
  <c r="J202" i="11"/>
  <c r="J198" i="11"/>
  <c r="J190" i="11"/>
  <c r="J186" i="11"/>
  <c r="J178" i="11"/>
  <c r="J101" i="11"/>
  <c r="J97" i="11"/>
  <c r="J89" i="11"/>
  <c r="J308" i="11"/>
  <c r="J296" i="11"/>
  <c r="J279" i="11"/>
  <c r="J267" i="11"/>
  <c r="J263" i="11"/>
  <c r="J247" i="11"/>
  <c r="J243" i="11"/>
  <c r="J239" i="11"/>
  <c r="J235" i="11"/>
  <c r="J223" i="11"/>
  <c r="J214" i="11"/>
  <c r="J210" i="11"/>
  <c r="J182" i="11"/>
  <c r="J170" i="11"/>
  <c r="J166" i="11"/>
  <c r="J162" i="11"/>
  <c r="J157" i="11"/>
  <c r="J153" i="11"/>
  <c r="J149" i="11"/>
  <c r="J133" i="11"/>
  <c r="J121" i="11"/>
  <c r="J117" i="11"/>
  <c r="J113" i="11"/>
  <c r="J109" i="11"/>
  <c r="J105" i="11"/>
  <c r="J81" i="11"/>
  <c r="J154" i="11"/>
  <c r="J142" i="11"/>
  <c r="J130" i="11"/>
  <c r="J122" i="11"/>
  <c r="J118" i="11"/>
  <c r="J102" i="11"/>
  <c r="J98" i="11"/>
  <c r="J94" i="11"/>
  <c r="J90" i="11"/>
  <c r="J86" i="11"/>
  <c r="J82" i="11"/>
  <c r="J306" i="11"/>
  <c r="J302" i="11"/>
  <c r="J298" i="11"/>
  <c r="J294" i="11"/>
  <c r="J290" i="11"/>
  <c r="J285" i="11"/>
  <c r="J281" i="11"/>
  <c r="J277" i="11"/>
  <c r="J273" i="11"/>
  <c r="J269" i="11"/>
  <c r="J265" i="11"/>
  <c r="J261" i="11"/>
  <c r="J257" i="11"/>
  <c r="J253" i="11"/>
  <c r="J249" i="11"/>
  <c r="J245" i="11"/>
  <c r="J241" i="11"/>
  <c r="J237" i="11"/>
  <c r="J233" i="11"/>
  <c r="J229" i="11"/>
  <c r="J225" i="11"/>
  <c r="J221" i="11"/>
  <c r="J217" i="11"/>
  <c r="J212" i="11"/>
  <c r="J208" i="11"/>
  <c r="J204" i="11"/>
  <c r="J200" i="11"/>
  <c r="J196" i="11"/>
  <c r="J192" i="11"/>
  <c r="J188" i="11"/>
  <c r="J184" i="11"/>
  <c r="J180" i="11"/>
  <c r="J176" i="11"/>
  <c r="J172" i="11"/>
  <c r="J168" i="11"/>
  <c r="J164" i="11"/>
  <c r="J160" i="11"/>
  <c r="J155" i="11"/>
  <c r="J151" i="11"/>
  <c r="J147" i="11"/>
  <c r="J143" i="11"/>
  <c r="J139" i="11"/>
  <c r="J135" i="11"/>
  <c r="J131" i="11"/>
  <c r="J127" i="11"/>
  <c r="J123" i="11"/>
  <c r="J119" i="11"/>
  <c r="J115" i="11"/>
  <c r="J111" i="11"/>
  <c r="J107" i="11"/>
  <c r="J103" i="11"/>
  <c r="J99" i="11"/>
  <c r="J95" i="11"/>
  <c r="J91" i="11"/>
  <c r="J87" i="11"/>
  <c r="J83" i="11"/>
  <c r="J79" i="11"/>
  <c r="J304" i="11"/>
  <c r="J300" i="11"/>
  <c r="J292" i="11"/>
  <c r="J288" i="11"/>
  <c r="J275" i="11"/>
  <c r="J271" i="11"/>
  <c r="J259" i="11"/>
  <c r="J219" i="11"/>
  <c r="J194" i="11"/>
  <c r="J174" i="11"/>
  <c r="J145" i="11"/>
  <c r="J141" i="11"/>
  <c r="J137" i="11"/>
  <c r="J129" i="11"/>
  <c r="J125" i="11"/>
  <c r="J93" i="11"/>
  <c r="J85" i="11"/>
  <c r="J305" i="11"/>
  <c r="J301" i="11"/>
  <c r="J297" i="11"/>
  <c r="J293" i="11"/>
  <c r="J289" i="11"/>
  <c r="J284" i="11"/>
  <c r="J280" i="11"/>
  <c r="J276" i="11"/>
  <c r="J272" i="11"/>
  <c r="J268" i="11"/>
  <c r="J264" i="11"/>
  <c r="J260" i="11"/>
  <c r="J256" i="11"/>
  <c r="J252" i="11"/>
  <c r="J248" i="11"/>
  <c r="J244" i="11"/>
  <c r="J240" i="11"/>
  <c r="J236" i="11"/>
  <c r="J232" i="11"/>
  <c r="J228" i="11"/>
  <c r="J224" i="11"/>
  <c r="J220" i="11"/>
  <c r="J216" i="11"/>
  <c r="J215" i="11"/>
  <c r="J211" i="11"/>
  <c r="J207" i="11"/>
  <c r="J203" i="11"/>
  <c r="J199" i="11"/>
  <c r="J195" i="11"/>
  <c r="J191" i="11"/>
  <c r="J187" i="11"/>
  <c r="J183" i="11"/>
  <c r="J179" i="11"/>
  <c r="J175" i="11"/>
  <c r="J171" i="11"/>
  <c r="J167" i="11"/>
  <c r="J163" i="11"/>
  <c r="J159" i="11"/>
  <c r="J158" i="11"/>
  <c r="J150" i="11"/>
  <c r="J146" i="11"/>
  <c r="J138" i="11"/>
  <c r="J134" i="11"/>
  <c r="J126" i="11"/>
  <c r="J114" i="11"/>
  <c r="J110" i="11"/>
  <c r="J106" i="11"/>
  <c r="J307" i="11"/>
  <c r="J303" i="11"/>
  <c r="J299" i="11"/>
  <c r="J295" i="11"/>
  <c r="J291" i="11"/>
  <c r="J286" i="11"/>
  <c r="J282" i="11"/>
  <c r="J278" i="11"/>
  <c r="J274" i="11"/>
  <c r="J270" i="11"/>
  <c r="J266" i="11"/>
  <c r="J262" i="11"/>
  <c r="J258" i="11"/>
  <c r="J254" i="11"/>
  <c r="J250" i="11"/>
  <c r="J246" i="11"/>
  <c r="J242" i="11"/>
  <c r="J238" i="11"/>
  <c r="J234" i="11"/>
  <c r="J230" i="11"/>
  <c r="J226" i="11"/>
  <c r="J222" i="11"/>
  <c r="J218" i="11"/>
  <c r="J213" i="11"/>
  <c r="J209" i="11"/>
  <c r="J205" i="11"/>
  <c r="J201" i="11"/>
  <c r="J197" i="11"/>
  <c r="J193" i="11"/>
  <c r="J189" i="11"/>
  <c r="J185" i="11"/>
  <c r="J181" i="11"/>
  <c r="J177" i="11"/>
  <c r="J173" i="11"/>
  <c r="J169" i="11"/>
  <c r="J165" i="11"/>
  <c r="J161" i="11"/>
  <c r="J156" i="11"/>
  <c r="J152" i="11"/>
  <c r="J148" i="11"/>
  <c r="J144" i="11"/>
  <c r="J140" i="11"/>
  <c r="J136" i="11"/>
  <c r="J132" i="11"/>
  <c r="J128" i="11"/>
  <c r="J124" i="11"/>
  <c r="J120" i="11"/>
  <c r="J116" i="11"/>
  <c r="J112" i="11"/>
  <c r="J108" i="11"/>
  <c r="J104" i="11"/>
  <c r="J100" i="11"/>
  <c r="J96" i="11"/>
  <c r="J92" i="11"/>
  <c r="J88" i="11"/>
  <c r="J84" i="11"/>
  <c r="J80" i="11"/>
  <c r="J16" i="11"/>
  <c r="J77" i="11"/>
  <c r="J73" i="11"/>
  <c r="J69" i="11"/>
  <c r="J65" i="11"/>
  <c r="J61" i="11"/>
  <c r="J57" i="11"/>
  <c r="J53" i="11"/>
  <c r="J49" i="11"/>
  <c r="J45" i="11"/>
  <c r="J41" i="11"/>
  <c r="J37" i="11"/>
  <c r="J33" i="11"/>
  <c r="J29" i="11"/>
  <c r="J25" i="11"/>
  <c r="J21" i="11"/>
  <c r="J17" i="11"/>
  <c r="J78" i="11"/>
  <c r="J74" i="11"/>
  <c r="J70" i="11"/>
  <c r="J66" i="11"/>
  <c r="J62" i="11"/>
  <c r="J58" i="11"/>
  <c r="J54" i="11"/>
  <c r="J50" i="11"/>
  <c r="J46" i="11"/>
  <c r="J42" i="11"/>
  <c r="J38" i="11"/>
  <c r="J34" i="11"/>
  <c r="J30" i="11"/>
  <c r="J26" i="11"/>
  <c r="J22" i="11"/>
  <c r="J18" i="11"/>
  <c r="J75" i="11"/>
  <c r="J71" i="11"/>
  <c r="J67" i="11"/>
  <c r="J63" i="11"/>
  <c r="J59" i="11"/>
  <c r="J55" i="11"/>
  <c r="J51" i="11"/>
  <c r="J47" i="11"/>
  <c r="J43" i="11"/>
  <c r="J39" i="11"/>
  <c r="J35" i="11"/>
  <c r="J31" i="11"/>
  <c r="J27" i="11"/>
  <c r="J23" i="11"/>
  <c r="J19" i="11"/>
  <c r="J76" i="11"/>
  <c r="J72" i="11"/>
  <c r="J68" i="11"/>
  <c r="J64" i="11"/>
  <c r="J60" i="11"/>
  <c r="J56" i="11"/>
  <c r="J52" i="11"/>
  <c r="J48" i="11"/>
  <c r="J44" i="11"/>
  <c r="J40" i="11"/>
  <c r="J36" i="11"/>
  <c r="J32" i="11"/>
  <c r="J28" i="11"/>
  <c r="J24" i="11"/>
  <c r="J20" i="11"/>
  <c r="F14" i="11"/>
  <c r="C31" i="14"/>
  <c r="C28" i="14"/>
  <c r="C43" i="14"/>
  <c r="G42" i="14"/>
  <c r="C19" i="22"/>
  <c r="C36" i="14"/>
  <c r="C44" i="14"/>
  <c r="C26" i="14"/>
  <c r="C24" i="14"/>
  <c r="G24" i="14"/>
  <c r="G36" i="14"/>
  <c r="C7" i="22"/>
  <c r="L45" i="14"/>
  <c r="L18" i="14" s="1"/>
  <c r="C40" i="14"/>
  <c r="G30" i="14"/>
  <c r="G43" i="14"/>
  <c r="G39" i="14"/>
  <c r="G37" i="14"/>
  <c r="G33" i="14"/>
  <c r="G31" i="14"/>
  <c r="G27" i="14"/>
  <c r="G25" i="14"/>
  <c r="I14" i="11"/>
  <c r="L14" i="11" s="1"/>
  <c r="G273" i="12"/>
  <c r="H273" i="12" s="1"/>
  <c r="F26" i="19"/>
  <c r="C21" i="22"/>
  <c r="C25" i="22"/>
  <c r="C17" i="22"/>
  <c r="E26" i="19"/>
  <c r="C18" i="22"/>
  <c r="C24" i="22"/>
  <c r="C22" i="22"/>
  <c r="C9" i="22"/>
  <c r="C5" i="22"/>
  <c r="G13" i="19"/>
  <c r="C13" i="19"/>
  <c r="C12" i="22"/>
  <c r="S33" i="8"/>
  <c r="L31" i="8"/>
  <c r="C85" i="17" l="1"/>
  <c r="C83" i="17"/>
  <c r="C21" i="23"/>
  <c r="C4" i="22"/>
  <c r="C78" i="17"/>
  <c r="C28" i="16"/>
  <c r="C10" i="16"/>
  <c r="C26" i="16"/>
  <c r="C41" i="14"/>
  <c r="C64" i="16"/>
  <c r="C82" i="16"/>
  <c r="H22" i="19"/>
  <c r="C20" i="22"/>
  <c r="C55" i="16"/>
  <c r="C39" i="14"/>
  <c r="C23" i="14"/>
  <c r="C56" i="17"/>
  <c r="C21" i="17"/>
  <c r="AE48" i="9"/>
  <c r="AU48" i="9"/>
  <c r="P48" i="9"/>
  <c r="O48" i="9"/>
  <c r="AI48" i="9"/>
  <c r="D13" i="15"/>
  <c r="D14" i="15" s="1"/>
  <c r="C13" i="15"/>
  <c r="C14" i="15" s="1"/>
  <c r="B13" i="15"/>
  <c r="B14" i="15" s="1"/>
  <c r="C11" i="22"/>
  <c r="E48" i="9"/>
  <c r="B48" i="9"/>
  <c r="C74" i="17"/>
  <c r="C16" i="22"/>
  <c r="C79" i="17"/>
  <c r="C35" i="14"/>
  <c r="C18" i="17"/>
  <c r="C13" i="23"/>
  <c r="H14" i="19"/>
  <c r="C86" i="17"/>
  <c r="C22" i="16"/>
  <c r="C5" i="23"/>
  <c r="C14" i="22"/>
  <c r="C30" i="14"/>
  <c r="C33" i="14"/>
  <c r="H16" i="19"/>
  <c r="C23" i="17"/>
  <c r="C47" i="17"/>
  <c r="H11" i="19"/>
  <c r="C20" i="16"/>
  <c r="C71" i="16"/>
  <c r="C49" i="16"/>
  <c r="C74" i="16"/>
  <c r="C50" i="17"/>
  <c r="C15" i="23"/>
  <c r="C83" i="16"/>
  <c r="C25" i="14"/>
  <c r="C52" i="17"/>
  <c r="C69" i="17"/>
  <c r="C17" i="16"/>
  <c r="C77" i="17"/>
  <c r="C71" i="17"/>
  <c r="H10" i="19"/>
  <c r="C43" i="16"/>
  <c r="C46" i="17"/>
  <c r="C8" i="22"/>
  <c r="C42" i="14"/>
  <c r="C34" i="14"/>
  <c r="C27" i="14"/>
  <c r="H8" i="19"/>
  <c r="C29" i="14"/>
  <c r="C21" i="16"/>
  <c r="C29" i="16"/>
  <c r="C14" i="16"/>
  <c r="C12" i="16"/>
  <c r="C73" i="17"/>
  <c r="C56" i="16"/>
  <c r="C70" i="16"/>
  <c r="E43" i="19"/>
  <c r="J43" i="19"/>
  <c r="H15" i="19"/>
  <c r="H23" i="19"/>
  <c r="C51" i="17"/>
  <c r="C59" i="17"/>
  <c r="C44" i="17"/>
  <c r="C13" i="17"/>
  <c r="C16" i="16"/>
  <c r="C7" i="23"/>
  <c r="C9" i="23"/>
  <c r="C39" i="16"/>
  <c r="C75" i="16"/>
  <c r="C68" i="16"/>
  <c r="C52" i="19"/>
  <c r="E45" i="19"/>
  <c r="J45" i="19"/>
  <c r="E51" i="19"/>
  <c r="J51" i="19"/>
  <c r="C10" i="22"/>
  <c r="C6" i="22"/>
  <c r="C23" i="22"/>
  <c r="C15" i="22"/>
  <c r="H6" i="19"/>
  <c r="C22" i="17"/>
  <c r="C30" i="17"/>
  <c r="C15" i="17"/>
  <c r="C42" i="17"/>
  <c r="C14" i="23"/>
  <c r="E41" i="19"/>
  <c r="J41" i="19"/>
  <c r="E49" i="19"/>
  <c r="J49" i="19"/>
  <c r="C73" i="16"/>
  <c r="C46" i="16"/>
  <c r="L48" i="9"/>
  <c r="AO48" i="9"/>
  <c r="Y48" i="9"/>
  <c r="AC48" i="9"/>
  <c r="X48" i="9"/>
  <c r="AG48" i="9"/>
  <c r="AV48" i="9"/>
  <c r="U48" i="9"/>
  <c r="B71" i="9" s="1"/>
  <c r="D48" i="9"/>
  <c r="T48" i="9"/>
  <c r="B70" i="9" s="1"/>
  <c r="BA48" i="9"/>
  <c r="I48" i="9"/>
  <c r="H48" i="9"/>
  <c r="AF48" i="9"/>
  <c r="AB48" i="9"/>
  <c r="AZ48" i="9"/>
  <c r="AS48" i="9"/>
  <c r="AJ48" i="9"/>
  <c r="M48" i="9"/>
  <c r="Q48" i="9"/>
  <c r="B57" i="9" s="1"/>
  <c r="AW48" i="9"/>
  <c r="C12" i="23"/>
  <c r="J14" i="11"/>
  <c r="K15" i="11" s="1"/>
  <c r="F26" i="22"/>
  <c r="G26" i="22" s="1"/>
  <c r="C19" i="16"/>
  <c r="C76" i="17"/>
  <c r="C49" i="17"/>
  <c r="C20" i="17"/>
  <c r="L71" i="14"/>
  <c r="H13" i="19"/>
  <c r="K71" i="11"/>
  <c r="K58" i="11"/>
  <c r="K66" i="11"/>
  <c r="K73" i="11"/>
  <c r="K271" i="11"/>
  <c r="K119" i="11"/>
  <c r="K127" i="11"/>
  <c r="K176" i="11"/>
  <c r="K184" i="11"/>
  <c r="K208" i="11"/>
  <c r="K241" i="11"/>
  <c r="K249" i="11"/>
  <c r="K257" i="11"/>
  <c r="K281" i="11"/>
  <c r="K290" i="11"/>
  <c r="K306" i="11"/>
  <c r="K88" i="11"/>
  <c r="K104" i="11"/>
  <c r="K112" i="11"/>
  <c r="K136" i="11"/>
  <c r="K144" i="11"/>
  <c r="K152" i="11"/>
  <c r="K177" i="11"/>
  <c r="K185" i="11"/>
  <c r="K201" i="11"/>
  <c r="K218" i="11"/>
  <c r="K234" i="11"/>
  <c r="K242" i="11"/>
  <c r="K266" i="11"/>
  <c r="K274" i="11"/>
  <c r="K282" i="11"/>
  <c r="K307" i="11"/>
  <c r="K110" i="11"/>
  <c r="K138" i="11"/>
  <c r="K159" i="11"/>
  <c r="K175" i="11"/>
  <c r="K183" i="11"/>
  <c r="K207" i="11"/>
  <c r="K215" i="11"/>
  <c r="K220" i="11"/>
  <c r="K244" i="11"/>
  <c r="K252" i="11"/>
  <c r="K268" i="11"/>
  <c r="K284" i="11"/>
  <c r="K301" i="11"/>
  <c r="K85" i="11"/>
  <c r="K145" i="11"/>
  <c r="K86" i="11"/>
  <c r="K94" i="11"/>
  <c r="K142" i="11"/>
  <c r="K81" i="11"/>
  <c r="K117" i="11"/>
  <c r="K153" i="11"/>
  <c r="K170" i="11"/>
  <c r="K210" i="11"/>
  <c r="K247" i="11"/>
  <c r="K267" i="11"/>
  <c r="K296" i="11"/>
  <c r="K186" i="11"/>
  <c r="K198" i="11"/>
  <c r="K231" i="11"/>
  <c r="K287" i="11"/>
  <c r="K24" i="11"/>
  <c r="K32" i="11"/>
  <c r="K56" i="11"/>
  <c r="K64" i="11"/>
  <c r="K19" i="11"/>
  <c r="K35" i="11"/>
  <c r="K51" i="11"/>
  <c r="K59" i="11"/>
  <c r="K22" i="11"/>
  <c r="K30" i="11"/>
  <c r="K38" i="11"/>
  <c r="K62" i="11"/>
  <c r="K70" i="11"/>
  <c r="K21" i="11"/>
  <c r="K37" i="11"/>
  <c r="K53" i="11"/>
  <c r="K61" i="11"/>
  <c r="K194" i="11"/>
  <c r="K259" i="11"/>
  <c r="K275" i="11"/>
  <c r="K83" i="11"/>
  <c r="K91" i="11"/>
  <c r="K107" i="11"/>
  <c r="K123" i="11"/>
  <c r="K139" i="11"/>
  <c r="K147" i="11"/>
  <c r="K172" i="11"/>
  <c r="K180" i="11"/>
  <c r="K188" i="11"/>
  <c r="K212" i="11"/>
  <c r="K221" i="11"/>
  <c r="K237" i="11"/>
  <c r="K253" i="11"/>
  <c r="K269" i="11"/>
  <c r="K277" i="11"/>
  <c r="K302" i="11"/>
  <c r="G45" i="14"/>
  <c r="G53" i="12"/>
  <c r="H53" i="12" s="1"/>
  <c r="G88" i="12"/>
  <c r="H88" i="12" s="1"/>
  <c r="G152" i="12"/>
  <c r="H152" i="12" s="1"/>
  <c r="G182" i="12"/>
  <c r="H182" i="12" s="1"/>
  <c r="G201" i="12"/>
  <c r="H201" i="12" s="1"/>
  <c r="G224" i="12"/>
  <c r="H224" i="12" s="1"/>
  <c r="G246" i="12"/>
  <c r="H246" i="12" s="1"/>
  <c r="G265" i="12"/>
  <c r="H265" i="12" s="1"/>
  <c r="G288" i="12"/>
  <c r="H288" i="12" s="1"/>
  <c r="G63" i="12"/>
  <c r="H63" i="12" s="1"/>
  <c r="G127" i="12"/>
  <c r="H127" i="12" s="1"/>
  <c r="G178" i="12"/>
  <c r="H178" i="12" s="1"/>
  <c r="G197" i="12"/>
  <c r="H197" i="12" s="1"/>
  <c r="G220" i="12"/>
  <c r="H220" i="12" s="1"/>
  <c r="G242" i="12"/>
  <c r="H242" i="12" s="1"/>
  <c r="G261" i="12"/>
  <c r="H261" i="12" s="1"/>
  <c r="G284" i="12"/>
  <c r="H284" i="12" s="1"/>
  <c r="G306" i="12"/>
  <c r="H306" i="12" s="1"/>
  <c r="G40" i="12"/>
  <c r="H40" i="12" s="1"/>
  <c r="G136" i="12"/>
  <c r="H136" i="12" s="1"/>
  <c r="G232" i="12"/>
  <c r="H232" i="12" s="1"/>
  <c r="G12" i="12"/>
  <c r="G38" i="12"/>
  <c r="H38" i="12" s="1"/>
  <c r="G46" i="12"/>
  <c r="H46" i="12" s="1"/>
  <c r="G54" i="12"/>
  <c r="H54" i="12" s="1"/>
  <c r="G62" i="12"/>
  <c r="H62" i="12" s="1"/>
  <c r="G70" i="12"/>
  <c r="H70" i="12" s="1"/>
  <c r="G78" i="12"/>
  <c r="H78" i="12" s="1"/>
  <c r="G86" i="12"/>
  <c r="H86" i="12" s="1"/>
  <c r="G94" i="12"/>
  <c r="H94" i="12" s="1"/>
  <c r="G102" i="12"/>
  <c r="H102" i="12" s="1"/>
  <c r="G110" i="12"/>
  <c r="H110" i="12" s="1"/>
  <c r="G118" i="12"/>
  <c r="H118" i="12" s="1"/>
  <c r="G126" i="12"/>
  <c r="H126" i="12" s="1"/>
  <c r="G134" i="12"/>
  <c r="H134" i="12" s="1"/>
  <c r="G142" i="12"/>
  <c r="H142" i="12" s="1"/>
  <c r="G150" i="12"/>
  <c r="H150" i="12" s="1"/>
  <c r="G158" i="12"/>
  <c r="H158" i="12" s="1"/>
  <c r="G166" i="12"/>
  <c r="H166" i="12" s="1"/>
  <c r="G16" i="12"/>
  <c r="H16" i="12" s="1"/>
  <c r="G20" i="12"/>
  <c r="H20" i="12" s="1"/>
  <c r="G24" i="12"/>
  <c r="H24" i="12" s="1"/>
  <c r="G28" i="12"/>
  <c r="H28" i="12" s="1"/>
  <c r="G32" i="12"/>
  <c r="H32" i="12" s="1"/>
  <c r="G43" i="12"/>
  <c r="H43" i="12" s="1"/>
  <c r="G50" i="12"/>
  <c r="H50" i="12" s="1"/>
  <c r="G75" i="12"/>
  <c r="H75" i="12" s="1"/>
  <c r="G82" i="12"/>
  <c r="H82" i="12" s="1"/>
  <c r="G107" i="12"/>
  <c r="H107" i="12" s="1"/>
  <c r="G114" i="12"/>
  <c r="H114" i="12" s="1"/>
  <c r="G139" i="12"/>
  <c r="H139" i="12" s="1"/>
  <c r="G146" i="12"/>
  <c r="H146" i="12" s="1"/>
  <c r="G171" i="12"/>
  <c r="H171" i="12" s="1"/>
  <c r="G187" i="12"/>
  <c r="H187" i="12" s="1"/>
  <c r="G203" i="12"/>
  <c r="H203" i="12" s="1"/>
  <c r="G219" i="12"/>
  <c r="H219" i="12" s="1"/>
  <c r="G235" i="12"/>
  <c r="H235" i="12" s="1"/>
  <c r="G251" i="12"/>
  <c r="H251" i="12" s="1"/>
  <c r="G267" i="12"/>
  <c r="H267" i="12" s="1"/>
  <c r="G283" i="12"/>
  <c r="H283" i="12" s="1"/>
  <c r="G299" i="12"/>
  <c r="H299" i="12" s="1"/>
  <c r="G51" i="12"/>
  <c r="H51" i="12" s="1"/>
  <c r="G83" i="12"/>
  <c r="H83" i="12" s="1"/>
  <c r="G271" i="12"/>
  <c r="H271" i="12" s="1"/>
  <c r="G287" i="12"/>
  <c r="H287" i="12" s="1"/>
  <c r="G35" i="12"/>
  <c r="H35" i="12" s="1"/>
  <c r="G42" i="12"/>
  <c r="H42" i="12" s="1"/>
  <c r="G67" i="12"/>
  <c r="H67" i="12" s="1"/>
  <c r="G74" i="12"/>
  <c r="H74" i="12" s="1"/>
  <c r="G99" i="12"/>
  <c r="H99" i="12" s="1"/>
  <c r="G106" i="12"/>
  <c r="H106" i="12" s="1"/>
  <c r="G131" i="12"/>
  <c r="H131" i="12" s="1"/>
  <c r="G138" i="12"/>
  <c r="H138" i="12" s="1"/>
  <c r="G163" i="12"/>
  <c r="H163" i="12" s="1"/>
  <c r="G183" i="12"/>
  <c r="H183" i="12" s="1"/>
  <c r="G199" i="12"/>
  <c r="H199" i="12" s="1"/>
  <c r="G215" i="12"/>
  <c r="H215" i="12" s="1"/>
  <c r="G231" i="12"/>
  <c r="H231" i="12" s="1"/>
  <c r="G247" i="12"/>
  <c r="H247" i="12" s="1"/>
  <c r="G263" i="12"/>
  <c r="H263" i="12" s="1"/>
  <c r="G279" i="12"/>
  <c r="H279" i="12" s="1"/>
  <c r="G295" i="12"/>
  <c r="H295" i="12" s="1"/>
  <c r="G14" i="12"/>
  <c r="H14" i="12" s="1"/>
  <c r="G18" i="12"/>
  <c r="H18" i="12" s="1"/>
  <c r="G22" i="12"/>
  <c r="H22" i="12" s="1"/>
  <c r="G26" i="12"/>
  <c r="H26" i="12" s="1"/>
  <c r="G30" i="12"/>
  <c r="H30" i="12" s="1"/>
  <c r="G34" i="12"/>
  <c r="H34" i="12" s="1"/>
  <c r="G59" i="12"/>
  <c r="H59" i="12" s="1"/>
  <c r="G66" i="12"/>
  <c r="H66" i="12" s="1"/>
  <c r="G91" i="12"/>
  <c r="H91" i="12" s="1"/>
  <c r="G98" i="12"/>
  <c r="H98" i="12" s="1"/>
  <c r="G123" i="12"/>
  <c r="H123" i="12" s="1"/>
  <c r="G130" i="12"/>
  <c r="H130" i="12" s="1"/>
  <c r="G155" i="12"/>
  <c r="H155" i="12" s="1"/>
  <c r="G162" i="12"/>
  <c r="H162" i="12" s="1"/>
  <c r="G179" i="12"/>
  <c r="H179" i="12" s="1"/>
  <c r="G195" i="12"/>
  <c r="H195" i="12" s="1"/>
  <c r="G211" i="12"/>
  <c r="H211" i="12" s="1"/>
  <c r="G227" i="12"/>
  <c r="H227" i="12" s="1"/>
  <c r="G243" i="12"/>
  <c r="H243" i="12" s="1"/>
  <c r="G259" i="12"/>
  <c r="H259" i="12" s="1"/>
  <c r="G275" i="12"/>
  <c r="H275" i="12" s="1"/>
  <c r="G291" i="12"/>
  <c r="H291" i="12" s="1"/>
  <c r="G58" i="12"/>
  <c r="H58" i="12" s="1"/>
  <c r="G90" i="12"/>
  <c r="H90" i="12" s="1"/>
  <c r="G115" i="12"/>
  <c r="H115" i="12" s="1"/>
  <c r="G122" i="12"/>
  <c r="H122" i="12" s="1"/>
  <c r="G147" i="12"/>
  <c r="H147" i="12" s="1"/>
  <c r="G154" i="12"/>
  <c r="H154" i="12" s="1"/>
  <c r="G175" i="12"/>
  <c r="H175" i="12" s="1"/>
  <c r="G191" i="12"/>
  <c r="H191" i="12" s="1"/>
  <c r="G207" i="12"/>
  <c r="H207" i="12" s="1"/>
  <c r="G223" i="12"/>
  <c r="H223" i="12" s="1"/>
  <c r="G239" i="12"/>
  <c r="H239" i="12" s="1"/>
  <c r="G255" i="12"/>
  <c r="H255" i="12" s="1"/>
  <c r="G303" i="12"/>
  <c r="H303" i="12" s="1"/>
  <c r="G49" i="12"/>
  <c r="H49" i="12" s="1"/>
  <c r="G113" i="12"/>
  <c r="H113" i="12" s="1"/>
  <c r="G64" i="12"/>
  <c r="H64" i="12" s="1"/>
  <c r="G196" i="12"/>
  <c r="H196" i="12" s="1"/>
  <c r="G237" i="12"/>
  <c r="H237" i="12" s="1"/>
  <c r="G301" i="12"/>
  <c r="H301" i="12" s="1"/>
  <c r="G177" i="12"/>
  <c r="H177" i="12" s="1"/>
  <c r="G209" i="12"/>
  <c r="H209" i="12" s="1"/>
  <c r="G238" i="12"/>
  <c r="H238" i="12" s="1"/>
  <c r="G289" i="12"/>
  <c r="H289" i="12" s="1"/>
  <c r="K45" i="14"/>
  <c r="G93" i="12"/>
  <c r="H93" i="12" s="1"/>
  <c r="G79" i="12"/>
  <c r="H79" i="12" s="1"/>
  <c r="G143" i="12"/>
  <c r="H143" i="12" s="1"/>
  <c r="G180" i="12"/>
  <c r="H180" i="12" s="1"/>
  <c r="G202" i="12"/>
  <c r="H202" i="12" s="1"/>
  <c r="G221" i="12"/>
  <c r="H221" i="12" s="1"/>
  <c r="G244" i="12"/>
  <c r="H244" i="12" s="1"/>
  <c r="G266" i="12"/>
  <c r="H266" i="12" s="1"/>
  <c r="G285" i="12"/>
  <c r="H285" i="12" s="1"/>
  <c r="G119" i="12"/>
  <c r="H119" i="12" s="1"/>
  <c r="G190" i="12"/>
  <c r="H190" i="12" s="1"/>
  <c r="G216" i="12"/>
  <c r="H216" i="12" s="1"/>
  <c r="G241" i="12"/>
  <c r="H241" i="12" s="1"/>
  <c r="G296" i="12"/>
  <c r="H296" i="12" s="1"/>
  <c r="G39" i="12"/>
  <c r="H39" i="12" s="1"/>
  <c r="L13" i="12" s="1"/>
  <c r="G103" i="12"/>
  <c r="H103" i="12" s="1"/>
  <c r="G167" i="12"/>
  <c r="H167" i="12" s="1"/>
  <c r="G185" i="12"/>
  <c r="H185" i="12" s="1"/>
  <c r="G208" i="12"/>
  <c r="H208" i="12" s="1"/>
  <c r="G230" i="12"/>
  <c r="H230" i="12" s="1"/>
  <c r="G249" i="12"/>
  <c r="H249" i="12" s="1"/>
  <c r="G272" i="12"/>
  <c r="H272" i="12" s="1"/>
  <c r="G294" i="12"/>
  <c r="H294" i="12" s="1"/>
  <c r="G80" i="12"/>
  <c r="H80" i="12" s="1"/>
  <c r="G144" i="12"/>
  <c r="H144" i="12" s="1"/>
  <c r="G181" i="12"/>
  <c r="H181" i="12" s="1"/>
  <c r="G204" i="12"/>
  <c r="H204" i="12" s="1"/>
  <c r="G226" i="12"/>
  <c r="H226" i="12" s="1"/>
  <c r="G245" i="12"/>
  <c r="H245" i="12" s="1"/>
  <c r="G268" i="12"/>
  <c r="H268" i="12" s="1"/>
  <c r="G290" i="12"/>
  <c r="H290" i="12" s="1"/>
  <c r="G55" i="12"/>
  <c r="H55" i="12" s="1"/>
  <c r="G168" i="12"/>
  <c r="H168" i="12" s="1"/>
  <c r="G254" i="12"/>
  <c r="H254" i="12" s="1"/>
  <c r="G280" i="12"/>
  <c r="H280" i="12" s="1"/>
  <c r="G36" i="12"/>
  <c r="H36" i="12" s="1"/>
  <c r="G100" i="12"/>
  <c r="H100" i="12" s="1"/>
  <c r="G164" i="12"/>
  <c r="H164" i="12" s="1"/>
  <c r="G29" i="12"/>
  <c r="H29" i="12" s="1"/>
  <c r="G173" i="12"/>
  <c r="H173" i="12" s="1"/>
  <c r="G260" i="12"/>
  <c r="H260" i="12" s="1"/>
  <c r="G282" i="12"/>
  <c r="H282" i="12" s="1"/>
  <c r="G104" i="12"/>
  <c r="H104" i="12" s="1"/>
  <c r="G26" i="19"/>
  <c r="G61" i="12"/>
  <c r="H61" i="12" s="1"/>
  <c r="G125" i="12"/>
  <c r="H125" i="12" s="1"/>
  <c r="G157" i="12"/>
  <c r="H157" i="12" s="1"/>
  <c r="G44" i="12"/>
  <c r="H44" i="12" s="1"/>
  <c r="G76" i="12"/>
  <c r="H76" i="12" s="1"/>
  <c r="G108" i="12"/>
  <c r="H108" i="12" s="1"/>
  <c r="G140" i="12"/>
  <c r="H140" i="12" s="1"/>
  <c r="G15" i="12"/>
  <c r="H15" i="12" s="1"/>
  <c r="G23" i="12"/>
  <c r="H23" i="12" s="1"/>
  <c r="G57" i="12"/>
  <c r="H57" i="12" s="1"/>
  <c r="G153" i="12"/>
  <c r="H153" i="12" s="1"/>
  <c r="C13" i="22"/>
  <c r="C26" i="19"/>
  <c r="C32" i="14"/>
  <c r="D26" i="19"/>
  <c r="G37" i="12"/>
  <c r="H37" i="12" s="1"/>
  <c r="G69" i="12"/>
  <c r="H69" i="12" s="1"/>
  <c r="G101" i="12"/>
  <c r="H101" i="12" s="1"/>
  <c r="G133" i="12"/>
  <c r="H133" i="12" s="1"/>
  <c r="G165" i="12"/>
  <c r="H165" i="12" s="1"/>
  <c r="G52" i="12"/>
  <c r="H52" i="12" s="1"/>
  <c r="G84" i="12"/>
  <c r="H84" i="12" s="1"/>
  <c r="G116" i="12"/>
  <c r="H116" i="12" s="1"/>
  <c r="G148" i="12"/>
  <c r="H148" i="12" s="1"/>
  <c r="G17" i="12"/>
  <c r="H17" i="12" s="1"/>
  <c r="G25" i="12"/>
  <c r="H25" i="12" s="1"/>
  <c r="G33" i="12"/>
  <c r="H33" i="12" s="1"/>
  <c r="G65" i="12"/>
  <c r="H65" i="12" s="1"/>
  <c r="G97" i="12"/>
  <c r="H97" i="12" s="1"/>
  <c r="G129" i="12"/>
  <c r="H129" i="12" s="1"/>
  <c r="G161" i="12"/>
  <c r="H161" i="12" s="1"/>
  <c r="G96" i="12"/>
  <c r="H96" i="12" s="1"/>
  <c r="G160" i="12"/>
  <c r="H160" i="12" s="1"/>
  <c r="G186" i="12"/>
  <c r="H186" i="12" s="1"/>
  <c r="G205" i="12"/>
  <c r="H205" i="12" s="1"/>
  <c r="G228" i="12"/>
  <c r="H228" i="12" s="1"/>
  <c r="G250" i="12"/>
  <c r="H250" i="12" s="1"/>
  <c r="G269" i="12"/>
  <c r="H269" i="12" s="1"/>
  <c r="G292" i="12"/>
  <c r="H292" i="12" s="1"/>
  <c r="G151" i="12"/>
  <c r="H151" i="12" s="1"/>
  <c r="G193" i="12"/>
  <c r="H193" i="12" s="1"/>
  <c r="G222" i="12"/>
  <c r="H222" i="12" s="1"/>
  <c r="G248" i="12"/>
  <c r="H248" i="12" s="1"/>
  <c r="G302" i="12"/>
  <c r="H302" i="12" s="1"/>
  <c r="G56" i="12"/>
  <c r="H56" i="12" s="1"/>
  <c r="G120" i="12"/>
  <c r="H120" i="12" s="1"/>
  <c r="G169" i="12"/>
  <c r="H169" i="12" s="1"/>
  <c r="G192" i="12"/>
  <c r="H192" i="12" s="1"/>
  <c r="G214" i="12"/>
  <c r="H214" i="12" s="1"/>
  <c r="G233" i="12"/>
  <c r="H233" i="12" s="1"/>
  <c r="G256" i="12"/>
  <c r="H256" i="12" s="1"/>
  <c r="G278" i="12"/>
  <c r="H278" i="12" s="1"/>
  <c r="G297" i="12"/>
  <c r="H297" i="12" s="1"/>
  <c r="G95" i="12"/>
  <c r="H95" i="12" s="1"/>
  <c r="G159" i="12"/>
  <c r="H159" i="12" s="1"/>
  <c r="G188" i="12"/>
  <c r="H188" i="12" s="1"/>
  <c r="G210" i="12"/>
  <c r="H210" i="12" s="1"/>
  <c r="G229" i="12"/>
  <c r="H229" i="12" s="1"/>
  <c r="G252" i="12"/>
  <c r="H252" i="12" s="1"/>
  <c r="G274" i="12"/>
  <c r="H274" i="12" s="1"/>
  <c r="G293" i="12"/>
  <c r="H293" i="12" s="1"/>
  <c r="G72" i="12"/>
  <c r="H72" i="12" s="1"/>
  <c r="G184" i="12"/>
  <c r="H184" i="12" s="1"/>
  <c r="G264" i="12"/>
  <c r="H264" i="12" s="1"/>
  <c r="G286" i="12"/>
  <c r="H286" i="12" s="1"/>
  <c r="G85" i="12"/>
  <c r="H85" i="12" s="1"/>
  <c r="G117" i="12"/>
  <c r="H117" i="12" s="1"/>
  <c r="G149" i="12"/>
  <c r="H149" i="12" s="1"/>
  <c r="G68" i="12"/>
  <c r="H68" i="12" s="1"/>
  <c r="G132" i="12"/>
  <c r="H132" i="12" s="1"/>
  <c r="G21" i="12"/>
  <c r="H21" i="12" s="1"/>
  <c r="G81" i="12"/>
  <c r="H81" i="12" s="1"/>
  <c r="G145" i="12"/>
  <c r="H145" i="12" s="1"/>
  <c r="G128" i="12"/>
  <c r="H128" i="12" s="1"/>
  <c r="G218" i="12"/>
  <c r="H218" i="12" s="1"/>
  <c r="G31" i="12"/>
  <c r="H31" i="12" s="1"/>
  <c r="G89" i="12"/>
  <c r="H89" i="12" s="1"/>
  <c r="G121" i="12"/>
  <c r="H121" i="12" s="1"/>
  <c r="G45" i="12"/>
  <c r="H45" i="12" s="1"/>
  <c r="G77" i="12"/>
  <c r="H77" i="12" s="1"/>
  <c r="G109" i="12"/>
  <c r="H109" i="12" s="1"/>
  <c r="G141" i="12"/>
  <c r="H141" i="12" s="1"/>
  <c r="G60" i="12"/>
  <c r="H60" i="12" s="1"/>
  <c r="G92" i="12"/>
  <c r="H92" i="12" s="1"/>
  <c r="G124" i="12"/>
  <c r="H124" i="12" s="1"/>
  <c r="G156" i="12"/>
  <c r="H156" i="12" s="1"/>
  <c r="G19" i="12"/>
  <c r="H19" i="12" s="1"/>
  <c r="G27" i="12"/>
  <c r="H27" i="12" s="1"/>
  <c r="G41" i="12"/>
  <c r="H41" i="12" s="1"/>
  <c r="G73" i="12"/>
  <c r="H73" i="12" s="1"/>
  <c r="G105" i="12"/>
  <c r="H105" i="12" s="1"/>
  <c r="G137" i="12"/>
  <c r="H137" i="12" s="1"/>
  <c r="G47" i="12"/>
  <c r="H47" i="12" s="1"/>
  <c r="G111" i="12"/>
  <c r="H111" i="12" s="1"/>
  <c r="G170" i="12"/>
  <c r="H170" i="12" s="1"/>
  <c r="G189" i="12"/>
  <c r="H189" i="12" s="1"/>
  <c r="G212" i="12"/>
  <c r="H212" i="12" s="1"/>
  <c r="G234" i="12"/>
  <c r="H234" i="12" s="1"/>
  <c r="G253" i="12"/>
  <c r="H253" i="12" s="1"/>
  <c r="G276" i="12"/>
  <c r="H276" i="12" s="1"/>
  <c r="G298" i="12"/>
  <c r="H298" i="12" s="1"/>
  <c r="G174" i="12"/>
  <c r="H174" i="12" s="1"/>
  <c r="G200" i="12"/>
  <c r="H200" i="12" s="1"/>
  <c r="G225" i="12"/>
  <c r="H225" i="12" s="1"/>
  <c r="G257" i="12"/>
  <c r="H257" i="12" s="1"/>
  <c r="G71" i="12"/>
  <c r="H71" i="12" s="1"/>
  <c r="G135" i="12"/>
  <c r="H135" i="12" s="1"/>
  <c r="G176" i="12"/>
  <c r="H176" i="12" s="1"/>
  <c r="G198" i="12"/>
  <c r="H198" i="12" s="1"/>
  <c r="G217" i="12"/>
  <c r="H217" i="12" s="1"/>
  <c r="G240" i="12"/>
  <c r="H240" i="12" s="1"/>
  <c r="G262" i="12"/>
  <c r="H262" i="12" s="1"/>
  <c r="G281" i="12"/>
  <c r="H281" i="12" s="1"/>
  <c r="G304" i="12"/>
  <c r="H304" i="12" s="1"/>
  <c r="G48" i="12"/>
  <c r="H48" i="12" s="1"/>
  <c r="G112" i="12"/>
  <c r="H112" i="12" s="1"/>
  <c r="G172" i="12"/>
  <c r="H172" i="12" s="1"/>
  <c r="G194" i="12"/>
  <c r="H194" i="12" s="1"/>
  <c r="G213" i="12"/>
  <c r="H213" i="12" s="1"/>
  <c r="G236" i="12"/>
  <c r="H236" i="12" s="1"/>
  <c r="G258" i="12"/>
  <c r="H258" i="12" s="1"/>
  <c r="G277" i="12"/>
  <c r="H277" i="12" s="1"/>
  <c r="G300" i="12"/>
  <c r="H300" i="12" s="1"/>
  <c r="G87" i="12"/>
  <c r="H87" i="12" s="1"/>
  <c r="G206" i="12"/>
  <c r="H206" i="12" s="1"/>
  <c r="G270" i="12"/>
  <c r="H270" i="12" s="1"/>
  <c r="G305" i="12"/>
  <c r="H305" i="12" s="1"/>
  <c r="M8" i="8"/>
  <c r="M10" i="8"/>
  <c r="M13" i="8"/>
  <c r="M16" i="8"/>
  <c r="M20" i="8"/>
  <c r="M24" i="8"/>
  <c r="M28" i="8"/>
  <c r="M5" i="8"/>
  <c r="M11" i="8"/>
  <c r="M14" i="8"/>
  <c r="M17" i="8"/>
  <c r="M21" i="8"/>
  <c r="M25" i="8"/>
  <c r="M29" i="8"/>
  <c r="M6" i="8"/>
  <c r="M12" i="8"/>
  <c r="M18" i="8"/>
  <c r="M22" i="8"/>
  <c r="M26" i="8"/>
  <c r="M7" i="8"/>
  <c r="M9" i="8"/>
  <c r="M15" i="8"/>
  <c r="M19" i="8"/>
  <c r="M23" i="8"/>
  <c r="M27" i="8"/>
  <c r="T5" i="8"/>
  <c r="T12" i="8"/>
  <c r="T14" i="8"/>
  <c r="T17" i="8"/>
  <c r="T21" i="8"/>
  <c r="T25" i="8"/>
  <c r="T29" i="8"/>
  <c r="T6" i="8"/>
  <c r="T9" i="8"/>
  <c r="T18" i="8"/>
  <c r="T22" i="8"/>
  <c r="T26" i="8"/>
  <c r="T31" i="8"/>
  <c r="T7" i="8"/>
  <c r="T10" i="8"/>
  <c r="T15" i="8"/>
  <c r="T19" i="8"/>
  <c r="T23" i="8"/>
  <c r="T27" i="8"/>
  <c r="T30" i="8"/>
  <c r="T8" i="8"/>
  <c r="T11" i="8"/>
  <c r="T13" i="8"/>
  <c r="T16" i="8"/>
  <c r="T20" i="8"/>
  <c r="T24" i="8"/>
  <c r="T28" i="8"/>
  <c r="F7" i="8"/>
  <c r="F10" i="8"/>
  <c r="F19" i="8"/>
  <c r="F23" i="8"/>
  <c r="F27" i="8"/>
  <c r="F32" i="8"/>
  <c r="F8" i="8"/>
  <c r="F11" i="8"/>
  <c r="F14" i="8"/>
  <c r="F16" i="8"/>
  <c r="F20" i="8"/>
  <c r="F24" i="8"/>
  <c r="F28" i="8"/>
  <c r="F31" i="8"/>
  <c r="F5" i="8"/>
  <c r="F9" i="8"/>
  <c r="F12" i="8"/>
  <c r="F15" i="8"/>
  <c r="F17" i="8"/>
  <c r="F21" i="8"/>
  <c r="F25" i="8"/>
  <c r="F29" i="8"/>
  <c r="F35" i="8"/>
  <c r="F41" i="8"/>
  <c r="F45" i="8"/>
  <c r="F49" i="8"/>
  <c r="F53" i="8"/>
  <c r="F57" i="8"/>
  <c r="F61" i="8"/>
  <c r="F65" i="8"/>
  <c r="F69" i="8"/>
  <c r="F73" i="8"/>
  <c r="F77" i="8"/>
  <c r="F81" i="8"/>
  <c r="F85" i="8"/>
  <c r="F89" i="8"/>
  <c r="F93" i="8"/>
  <c r="F6" i="8"/>
  <c r="F13" i="8"/>
  <c r="F18" i="8"/>
  <c r="F22" i="8"/>
  <c r="F82" i="8"/>
  <c r="F90" i="8"/>
  <c r="F34" i="8"/>
  <c r="F37" i="8"/>
  <c r="F39" i="8"/>
  <c r="F44" i="8"/>
  <c r="F47" i="8"/>
  <c r="F52" i="8"/>
  <c r="F55" i="8"/>
  <c r="F60" i="8"/>
  <c r="F63" i="8"/>
  <c r="F68" i="8"/>
  <c r="F71" i="8"/>
  <c r="F76" i="8"/>
  <c r="F79" i="8"/>
  <c r="F84" i="8"/>
  <c r="F87" i="8"/>
  <c r="F92" i="8"/>
  <c r="F95" i="8"/>
  <c r="F26" i="8"/>
  <c r="F36" i="8"/>
  <c r="F38" i="8"/>
  <c r="F46" i="8"/>
  <c r="F54" i="8"/>
  <c r="F62" i="8"/>
  <c r="F70" i="8"/>
  <c r="F78" i="8"/>
  <c r="F86" i="8"/>
  <c r="F94" i="8"/>
  <c r="F33" i="8"/>
  <c r="F40" i="8"/>
  <c r="F43" i="8"/>
  <c r="F48" i="8"/>
  <c r="F51" i="8"/>
  <c r="F56" i="8"/>
  <c r="F59" i="8"/>
  <c r="F64" i="8"/>
  <c r="F67" i="8"/>
  <c r="F72" i="8"/>
  <c r="F75" i="8"/>
  <c r="F80" i="8"/>
  <c r="F83" i="8"/>
  <c r="F88" i="8"/>
  <c r="F91" i="8"/>
  <c r="F96" i="8"/>
  <c r="F30" i="8"/>
  <c r="F42" i="8"/>
  <c r="F50" i="8"/>
  <c r="F58" i="8"/>
  <c r="F66" i="8"/>
  <c r="F74" i="8"/>
  <c r="C86" i="16" l="1"/>
  <c r="C89" i="17"/>
  <c r="C59" i="16"/>
  <c r="C62" i="17"/>
  <c r="C32" i="16"/>
  <c r="E52" i="19"/>
  <c r="J52" i="19"/>
  <c r="K43" i="19" s="1"/>
  <c r="C33" i="17"/>
  <c r="B65" i="9"/>
  <c r="B59" i="9" s="1"/>
  <c r="B64" i="9"/>
  <c r="B58" i="9" s="1"/>
  <c r="C25" i="23"/>
  <c r="K57" i="11"/>
  <c r="K84" i="11"/>
  <c r="L15" i="11"/>
  <c r="N15" i="11" s="1"/>
  <c r="C44" i="15"/>
  <c r="E13" i="15"/>
  <c r="L221" i="11"/>
  <c r="N221" i="11" s="1"/>
  <c r="L107" i="11"/>
  <c r="N107" i="11" s="1"/>
  <c r="L37" i="11"/>
  <c r="N37" i="11" s="1"/>
  <c r="L51" i="11"/>
  <c r="N51" i="11" s="1"/>
  <c r="L231" i="11"/>
  <c r="N231" i="11" s="1"/>
  <c r="L153" i="11"/>
  <c r="N153" i="11" s="1"/>
  <c r="L301" i="11"/>
  <c r="N301" i="11" s="1"/>
  <c r="L183" i="11"/>
  <c r="N183" i="11" s="1"/>
  <c r="L266" i="11"/>
  <c r="N266" i="11" s="1"/>
  <c r="L144" i="11"/>
  <c r="N144" i="11" s="1"/>
  <c r="L257" i="11"/>
  <c r="N257" i="11" s="1"/>
  <c r="L58" i="11"/>
  <c r="N58" i="11" s="1"/>
  <c r="L212" i="11"/>
  <c r="N212" i="11" s="1"/>
  <c r="L91" i="11"/>
  <c r="N91" i="11" s="1"/>
  <c r="L21" i="11"/>
  <c r="N21" i="11" s="1"/>
  <c r="L35" i="11"/>
  <c r="N35" i="11" s="1"/>
  <c r="L198" i="11"/>
  <c r="N198" i="11" s="1"/>
  <c r="L117" i="11"/>
  <c r="N117" i="11" s="1"/>
  <c r="L284" i="11"/>
  <c r="N284" i="11" s="1"/>
  <c r="L175" i="11"/>
  <c r="N175" i="11" s="1"/>
  <c r="L185" i="11"/>
  <c r="N185" i="11" s="1"/>
  <c r="L306" i="11"/>
  <c r="N306" i="11" s="1"/>
  <c r="L176" i="11"/>
  <c r="N176" i="11" s="1"/>
  <c r="L71" i="11"/>
  <c r="N71" i="11" s="1"/>
  <c r="L188" i="11"/>
  <c r="N188" i="11" s="1"/>
  <c r="L83" i="11"/>
  <c r="N83" i="11" s="1"/>
  <c r="N70" i="11"/>
  <c r="L70" i="11"/>
  <c r="L19" i="11"/>
  <c r="N19" i="11" s="1"/>
  <c r="L186" i="11"/>
  <c r="N186" i="11" s="1"/>
  <c r="L81" i="11"/>
  <c r="N81" i="11" s="1"/>
  <c r="L268" i="11"/>
  <c r="N268" i="11" s="1"/>
  <c r="L159" i="11"/>
  <c r="N159" i="11" s="1"/>
  <c r="L177" i="11"/>
  <c r="N177" i="11" s="1"/>
  <c r="L290" i="11"/>
  <c r="N290" i="11" s="1"/>
  <c r="L84" i="11"/>
  <c r="N84" i="11" s="1"/>
  <c r="L277" i="11"/>
  <c r="N277" i="11" s="1"/>
  <c r="L172" i="11"/>
  <c r="N172" i="11" s="1"/>
  <c r="L259" i="11"/>
  <c r="N259" i="11" s="1"/>
  <c r="L38" i="11"/>
  <c r="N38" i="11" s="1"/>
  <c r="L56" i="11"/>
  <c r="N56" i="11" s="1"/>
  <c r="L267" i="11"/>
  <c r="N267" i="11" s="1"/>
  <c r="L94" i="11"/>
  <c r="N94" i="11" s="1"/>
  <c r="L244" i="11"/>
  <c r="N244" i="11" s="1"/>
  <c r="L110" i="11"/>
  <c r="N110" i="11" s="1"/>
  <c r="L201" i="11"/>
  <c r="N201" i="11" s="1"/>
  <c r="L88" i="11"/>
  <c r="N88" i="11" s="1"/>
  <c r="L184" i="11"/>
  <c r="N184" i="11" s="1"/>
  <c r="L271" i="11"/>
  <c r="N271" i="11" s="1"/>
  <c r="L269" i="11"/>
  <c r="N269" i="11" s="1"/>
  <c r="L147" i="11"/>
  <c r="N147" i="11" s="1"/>
  <c r="L194" i="11"/>
  <c r="N194" i="11" s="1"/>
  <c r="L30" i="11"/>
  <c r="N30" i="11" s="1"/>
  <c r="L32" i="11"/>
  <c r="N32" i="11" s="1"/>
  <c r="L247" i="11"/>
  <c r="N247" i="11" s="1"/>
  <c r="L86" i="11"/>
  <c r="N86" i="11" s="1"/>
  <c r="L220" i="11"/>
  <c r="N220" i="11" s="1"/>
  <c r="L307" i="11"/>
  <c r="N307" i="11" s="1"/>
  <c r="L242" i="11"/>
  <c r="N242" i="11" s="1"/>
  <c r="L136" i="11"/>
  <c r="N136" i="11" s="1"/>
  <c r="L249" i="11"/>
  <c r="N249" i="11" s="1"/>
  <c r="L73" i="11"/>
  <c r="N73" i="11" s="1"/>
  <c r="L253" i="11"/>
  <c r="N253" i="11" s="1"/>
  <c r="L139" i="11"/>
  <c r="N139" i="11" s="1"/>
  <c r="L61" i="11"/>
  <c r="N61" i="11" s="1"/>
  <c r="L22" i="11"/>
  <c r="N22" i="11" s="1"/>
  <c r="L24" i="11"/>
  <c r="N24" i="11" s="1"/>
  <c r="L210" i="11"/>
  <c r="N210" i="11" s="1"/>
  <c r="L145" i="11"/>
  <c r="N145" i="11" s="1"/>
  <c r="L215" i="11"/>
  <c r="N215" i="11" s="1"/>
  <c r="L282" i="11"/>
  <c r="N282" i="11" s="1"/>
  <c r="L234" i="11"/>
  <c r="N234" i="11" s="1"/>
  <c r="L112" i="11"/>
  <c r="N112" i="11" s="1"/>
  <c r="L241" i="11"/>
  <c r="N241" i="11" s="1"/>
  <c r="L127" i="11"/>
  <c r="N127" i="11" s="1"/>
  <c r="L57" i="11"/>
  <c r="N57" i="11" s="1"/>
  <c r="L302" i="11"/>
  <c r="N302" i="11" s="1"/>
  <c r="L237" i="11"/>
  <c r="N237" i="11" s="1"/>
  <c r="L180" i="11"/>
  <c r="N180" i="11" s="1"/>
  <c r="L123" i="11"/>
  <c r="N123" i="11" s="1"/>
  <c r="L275" i="11"/>
  <c r="N275" i="11" s="1"/>
  <c r="L53" i="11"/>
  <c r="N53" i="11" s="1"/>
  <c r="L62" i="11"/>
  <c r="N62" i="11" s="1"/>
  <c r="L59" i="11"/>
  <c r="N59" i="11" s="1"/>
  <c r="L64" i="11"/>
  <c r="N64" i="11" s="1"/>
  <c r="L287" i="11"/>
  <c r="N287" i="11" s="1"/>
  <c r="L296" i="11"/>
  <c r="N296" i="11" s="1"/>
  <c r="L170" i="11"/>
  <c r="N170" i="11" s="1"/>
  <c r="L142" i="11"/>
  <c r="N142" i="11" s="1"/>
  <c r="L85" i="11"/>
  <c r="N85" i="11" s="1"/>
  <c r="L252" i="11"/>
  <c r="N252" i="11" s="1"/>
  <c r="L207" i="11"/>
  <c r="N207" i="11" s="1"/>
  <c r="L138" i="11"/>
  <c r="N138" i="11" s="1"/>
  <c r="L274" i="11"/>
  <c r="N274" i="11" s="1"/>
  <c r="L218" i="11"/>
  <c r="N218" i="11" s="1"/>
  <c r="L152" i="11"/>
  <c r="N152" i="11" s="1"/>
  <c r="L104" i="11"/>
  <c r="N104" i="11" s="1"/>
  <c r="L281" i="11"/>
  <c r="N281" i="11" s="1"/>
  <c r="L208" i="11"/>
  <c r="N208" i="11" s="1"/>
  <c r="L119" i="11"/>
  <c r="N119" i="11" s="1"/>
  <c r="L66" i="11"/>
  <c r="N66" i="11" s="1"/>
  <c r="L100" i="14"/>
  <c r="L112" i="16"/>
  <c r="L140" i="16" s="1"/>
  <c r="L14" i="12"/>
  <c r="L31" i="12"/>
  <c r="L30" i="12"/>
  <c r="L15" i="12"/>
  <c r="H26" i="19"/>
  <c r="I4" i="19" s="1"/>
  <c r="K87" i="11"/>
  <c r="K74" i="11"/>
  <c r="K52" i="11"/>
  <c r="K55" i="11"/>
  <c r="K31" i="11"/>
  <c r="K251" i="11"/>
  <c r="K285" i="11"/>
  <c r="K245" i="11"/>
  <c r="K204" i="11"/>
  <c r="K155" i="11"/>
  <c r="K115" i="11"/>
  <c r="K304" i="11"/>
  <c r="K69" i="11"/>
  <c r="K29" i="11"/>
  <c r="K54" i="11"/>
  <c r="K67" i="11"/>
  <c r="K27" i="11"/>
  <c r="K48" i="11"/>
  <c r="K255" i="11"/>
  <c r="K101" i="11"/>
  <c r="K223" i="11"/>
  <c r="K133" i="11"/>
  <c r="K122" i="11"/>
  <c r="K125" i="11"/>
  <c r="K276" i="11"/>
  <c r="K236" i="11"/>
  <c r="K191" i="11"/>
  <c r="K150" i="11"/>
  <c r="K299" i="11"/>
  <c r="K250" i="11"/>
  <c r="K209" i="11"/>
  <c r="K169" i="11"/>
  <c r="K120" i="11"/>
  <c r="K80" i="11"/>
  <c r="K273" i="11"/>
  <c r="K225" i="11"/>
  <c r="K143" i="11"/>
  <c r="K79" i="11"/>
  <c r="K41" i="11"/>
  <c r="K26" i="11"/>
  <c r="K60" i="11"/>
  <c r="K279" i="11"/>
  <c r="K217" i="11"/>
  <c r="K160" i="11"/>
  <c r="K95" i="11"/>
  <c r="K219" i="11"/>
  <c r="K33" i="11"/>
  <c r="K34" i="11"/>
  <c r="K39" i="11"/>
  <c r="K44" i="11"/>
  <c r="K240" i="11"/>
  <c r="K158" i="11"/>
  <c r="K192" i="11"/>
  <c r="K151" i="11"/>
  <c r="K111" i="11"/>
  <c r="K288" i="11"/>
  <c r="K65" i="11"/>
  <c r="K25" i="11"/>
  <c r="K42" i="11"/>
  <c r="K63" i="11"/>
  <c r="K23" i="11"/>
  <c r="K20" i="11"/>
  <c r="K121" i="11"/>
  <c r="K254" i="11"/>
  <c r="K129" i="11"/>
  <c r="K173" i="11"/>
  <c r="K294" i="11"/>
  <c r="K261" i="11"/>
  <c r="K229" i="11"/>
  <c r="K196" i="11"/>
  <c r="K164" i="11"/>
  <c r="K131" i="11"/>
  <c r="K99" i="11"/>
  <c r="K292" i="11"/>
  <c r="K77" i="11"/>
  <c r="K45" i="11"/>
  <c r="K78" i="11"/>
  <c r="K46" i="11"/>
  <c r="K75" i="11"/>
  <c r="K43" i="11"/>
  <c r="K72" i="11"/>
  <c r="K40" i="11"/>
  <c r="K92" i="11"/>
  <c r="K206" i="11"/>
  <c r="K89" i="11"/>
  <c r="K239" i="11"/>
  <c r="K162" i="11"/>
  <c r="K109" i="11"/>
  <c r="K102" i="11"/>
  <c r="K137" i="11"/>
  <c r="K293" i="11"/>
  <c r="K260" i="11"/>
  <c r="K228" i="11"/>
  <c r="K199" i="11"/>
  <c r="K167" i="11"/>
  <c r="K126" i="11"/>
  <c r="K291" i="11"/>
  <c r="K258" i="11"/>
  <c r="K226" i="11"/>
  <c r="K193" i="11"/>
  <c r="K161" i="11"/>
  <c r="K128" i="11"/>
  <c r="K96" i="11"/>
  <c r="K298" i="11"/>
  <c r="K265" i="11"/>
  <c r="K233" i="11"/>
  <c r="K200" i="11"/>
  <c r="K168" i="11"/>
  <c r="K135" i="11"/>
  <c r="K103" i="11"/>
  <c r="K300" i="11"/>
  <c r="K16" i="11"/>
  <c r="K49" i="11"/>
  <c r="K17" i="11"/>
  <c r="K50" i="11"/>
  <c r="K18" i="11"/>
  <c r="K47" i="11"/>
  <c r="K76" i="11"/>
  <c r="K28" i="11"/>
  <c r="K227" i="11"/>
  <c r="K113" i="11"/>
  <c r="K224" i="11"/>
  <c r="K246" i="11"/>
  <c r="K243" i="11"/>
  <c r="K93" i="11"/>
  <c r="K146" i="11"/>
  <c r="K156" i="11"/>
  <c r="K178" i="11"/>
  <c r="K214" i="11"/>
  <c r="K118" i="11"/>
  <c r="K280" i="11"/>
  <c r="K195" i="11"/>
  <c r="K303" i="11"/>
  <c r="K213" i="11"/>
  <c r="K124" i="11"/>
  <c r="K68" i="11"/>
  <c r="K36" i="11"/>
  <c r="K283" i="11"/>
  <c r="K97" i="11"/>
  <c r="K182" i="11"/>
  <c r="K90" i="11"/>
  <c r="K272" i="11"/>
  <c r="K187" i="11"/>
  <c r="K286" i="11"/>
  <c r="K205" i="11"/>
  <c r="K116" i="11"/>
  <c r="K190" i="11"/>
  <c r="K263" i="11"/>
  <c r="K166" i="11"/>
  <c r="K154" i="11"/>
  <c r="K82" i="11"/>
  <c r="K305" i="11"/>
  <c r="K256" i="11"/>
  <c r="K216" i="11"/>
  <c r="K179" i="11"/>
  <c r="K114" i="11"/>
  <c r="K278" i="11"/>
  <c r="K238" i="11"/>
  <c r="K189" i="11"/>
  <c r="K148" i="11"/>
  <c r="K108" i="11"/>
  <c r="K149" i="11"/>
  <c r="K130" i="11"/>
  <c r="K174" i="11"/>
  <c r="K289" i="11"/>
  <c r="K248" i="11"/>
  <c r="K211" i="11"/>
  <c r="K163" i="11"/>
  <c r="K106" i="11"/>
  <c r="K270" i="11"/>
  <c r="K222" i="11"/>
  <c r="K181" i="11"/>
  <c r="K140" i="11"/>
  <c r="K14" i="11"/>
  <c r="K202" i="11"/>
  <c r="K308" i="11"/>
  <c r="K235" i="11"/>
  <c r="K157" i="11"/>
  <c r="K105" i="11"/>
  <c r="K98" i="11"/>
  <c r="K141" i="11"/>
  <c r="K297" i="11"/>
  <c r="K264" i="11"/>
  <c r="K232" i="11"/>
  <c r="K203" i="11"/>
  <c r="K171" i="11"/>
  <c r="K134" i="11"/>
  <c r="K295" i="11"/>
  <c r="K262" i="11"/>
  <c r="K230" i="11"/>
  <c r="K197" i="11"/>
  <c r="K165" i="11"/>
  <c r="K132" i="11"/>
  <c r="K100" i="11"/>
  <c r="C26" i="22"/>
  <c r="F27" i="22" s="1"/>
  <c r="G4" i="22" s="1"/>
  <c r="C45" i="14"/>
  <c r="B11" i="14" s="1"/>
  <c r="K41" i="19" l="1"/>
  <c r="K45" i="19"/>
  <c r="K51" i="19"/>
  <c r="K46" i="19"/>
  <c r="K52" i="19"/>
  <c r="K47" i="19"/>
  <c r="K37" i="19"/>
  <c r="K44" i="19"/>
  <c r="K32" i="19"/>
  <c r="K39" i="19"/>
  <c r="K31" i="19"/>
  <c r="K33" i="19"/>
  <c r="K34" i="19"/>
  <c r="K38" i="19"/>
  <c r="K36" i="19"/>
  <c r="K42" i="19"/>
  <c r="K35" i="19"/>
  <c r="K30" i="19"/>
  <c r="K48" i="19"/>
  <c r="K50" i="19"/>
  <c r="K40" i="19"/>
  <c r="K49" i="19"/>
  <c r="F30" i="19"/>
  <c r="F44" i="19"/>
  <c r="F52" i="19"/>
  <c r="F51" i="19"/>
  <c r="F38" i="19"/>
  <c r="F45" i="19"/>
  <c r="F31" i="19"/>
  <c r="F35" i="19"/>
  <c r="F49" i="19"/>
  <c r="F36" i="19"/>
  <c r="F48" i="19"/>
  <c r="F39" i="19"/>
  <c r="F46" i="19"/>
  <c r="F32" i="19"/>
  <c r="F34" i="19"/>
  <c r="F42" i="19"/>
  <c r="F40" i="19"/>
  <c r="F47" i="19"/>
  <c r="F41" i="19"/>
  <c r="F33" i="19"/>
  <c r="F43" i="19"/>
  <c r="F37" i="19"/>
  <c r="F50" i="19"/>
  <c r="M4" i="23"/>
  <c r="L3" i="23"/>
  <c r="M3" i="23"/>
  <c r="K3" i="23"/>
  <c r="B60" i="9"/>
  <c r="C57" i="9" s="1"/>
  <c r="K12" i="23"/>
  <c r="M12" i="23"/>
  <c r="N12" i="23"/>
  <c r="L12" i="23"/>
  <c r="N14" i="23"/>
  <c r="N22" i="23"/>
  <c r="N15" i="23"/>
  <c r="L13" i="23"/>
  <c r="N19" i="23"/>
  <c r="L5" i="23"/>
  <c r="K16" i="23"/>
  <c r="K24" i="23"/>
  <c r="K20" i="23"/>
  <c r="L21" i="23"/>
  <c r="N10" i="23"/>
  <c r="N18" i="23"/>
  <c r="K4" i="23"/>
  <c r="N6" i="23"/>
  <c r="K8" i="23"/>
  <c r="L17" i="23"/>
  <c r="N7" i="23"/>
  <c r="L9" i="23"/>
  <c r="N11" i="23"/>
  <c r="N23" i="23"/>
  <c r="K13" i="23"/>
  <c r="L6" i="23"/>
  <c r="K9" i="23"/>
  <c r="M23" i="23"/>
  <c r="M14" i="23"/>
  <c r="M22" i="23"/>
  <c r="K15" i="23"/>
  <c r="M13" i="23"/>
  <c r="K19" i="23"/>
  <c r="M5" i="23"/>
  <c r="L16" i="23"/>
  <c r="L24" i="23"/>
  <c r="L20" i="23"/>
  <c r="M21" i="23"/>
  <c r="M10" i="23"/>
  <c r="M18" i="23"/>
  <c r="L4" i="23"/>
  <c r="M6" i="23"/>
  <c r="L8" i="23"/>
  <c r="M17" i="23"/>
  <c r="K7" i="23"/>
  <c r="M9" i="23"/>
  <c r="K11" i="23"/>
  <c r="K23" i="23"/>
  <c r="M24" i="23"/>
  <c r="K14" i="23"/>
  <c r="K22" i="23"/>
  <c r="L15" i="23"/>
  <c r="N13" i="23"/>
  <c r="L19" i="23"/>
  <c r="N5" i="23"/>
  <c r="N16" i="23"/>
  <c r="N24" i="23"/>
  <c r="N20" i="23"/>
  <c r="N3" i="23"/>
  <c r="N21" i="23"/>
  <c r="K10" i="23"/>
  <c r="K18" i="23"/>
  <c r="N4" i="23"/>
  <c r="K6" i="23"/>
  <c r="N8" i="23"/>
  <c r="N17" i="23"/>
  <c r="L7" i="23"/>
  <c r="N9" i="23"/>
  <c r="L11" i="23"/>
  <c r="L23" i="23"/>
  <c r="L14" i="23"/>
  <c r="L22" i="23"/>
  <c r="M15" i="23"/>
  <c r="M19" i="23"/>
  <c r="K5" i="23"/>
  <c r="M16" i="23"/>
  <c r="M20" i="23"/>
  <c r="K21" i="23"/>
  <c r="L10" i="23"/>
  <c r="L18" i="23"/>
  <c r="M8" i="23"/>
  <c r="K17" i="23"/>
  <c r="M7" i="23"/>
  <c r="M11" i="23"/>
  <c r="L295" i="11"/>
  <c r="N295" i="11" s="1"/>
  <c r="L98" i="11"/>
  <c r="N98" i="11" s="1"/>
  <c r="L181" i="11"/>
  <c r="N181" i="11" s="1"/>
  <c r="L174" i="11"/>
  <c r="N174" i="11" s="1"/>
  <c r="L114" i="11"/>
  <c r="N114" i="11" s="1"/>
  <c r="L263" i="11"/>
  <c r="N263" i="11" s="1"/>
  <c r="L182" i="11"/>
  <c r="N182" i="11" s="1"/>
  <c r="L195" i="11"/>
  <c r="N195" i="11" s="1"/>
  <c r="L243" i="11"/>
  <c r="N243" i="11" s="1"/>
  <c r="L18" i="11"/>
  <c r="N18" i="11" s="1"/>
  <c r="L168" i="11"/>
  <c r="N168" i="11" s="1"/>
  <c r="L193" i="11"/>
  <c r="N193" i="11" s="1"/>
  <c r="L260" i="11"/>
  <c r="N260" i="11" s="1"/>
  <c r="L206" i="11"/>
  <c r="N206" i="11" s="1"/>
  <c r="L45" i="11"/>
  <c r="N45" i="11" s="1"/>
  <c r="L261" i="11"/>
  <c r="N261" i="11" s="1"/>
  <c r="L63" i="11"/>
  <c r="N63" i="11" s="1"/>
  <c r="L158" i="11"/>
  <c r="N158" i="11" s="1"/>
  <c r="L160" i="11"/>
  <c r="N160" i="11" s="1"/>
  <c r="L225" i="11"/>
  <c r="N225" i="11" s="1"/>
  <c r="L150" i="11"/>
  <c r="N150" i="11" s="1"/>
  <c r="L101" i="11"/>
  <c r="N101" i="11" s="1"/>
  <c r="L304" i="11"/>
  <c r="N304" i="11" s="1"/>
  <c r="L245" i="11"/>
  <c r="N245" i="11" s="1"/>
  <c r="L258" i="11"/>
  <c r="N258" i="11" s="1"/>
  <c r="L199" i="11"/>
  <c r="N199" i="11" s="1"/>
  <c r="L137" i="11"/>
  <c r="N137" i="11" s="1"/>
  <c r="R18" i="11" s="1"/>
  <c r="L239" i="11"/>
  <c r="N239" i="11" s="1"/>
  <c r="L40" i="11"/>
  <c r="N40" i="11" s="1"/>
  <c r="L46" i="11"/>
  <c r="N46" i="11" s="1"/>
  <c r="L292" i="11"/>
  <c r="N292" i="11" s="1"/>
  <c r="L196" i="11"/>
  <c r="N196" i="11" s="1"/>
  <c r="L173" i="11"/>
  <c r="N173" i="11" s="1"/>
  <c r="L20" i="11"/>
  <c r="N20" i="11" s="1"/>
  <c r="L25" i="11"/>
  <c r="N25" i="11" s="1"/>
  <c r="L151" i="11"/>
  <c r="N151" i="11" s="1"/>
  <c r="L44" i="11"/>
  <c r="N44" i="11" s="1"/>
  <c r="L219" i="11"/>
  <c r="N219" i="11" s="1"/>
  <c r="L279" i="11"/>
  <c r="N279" i="11" s="1"/>
  <c r="L79" i="11"/>
  <c r="N79" i="11" s="1"/>
  <c r="L80" i="11"/>
  <c r="N80" i="11" s="1"/>
  <c r="L250" i="11"/>
  <c r="N250" i="11" s="1"/>
  <c r="L236" i="11"/>
  <c r="N236" i="11" s="1"/>
  <c r="L133" i="11"/>
  <c r="N133" i="11" s="1"/>
  <c r="L48" i="11"/>
  <c r="N48" i="11" s="1"/>
  <c r="L29" i="11"/>
  <c r="N29" i="11" s="1"/>
  <c r="L155" i="11"/>
  <c r="N155" i="11" s="1"/>
  <c r="L251" i="11"/>
  <c r="N251" i="11" s="1"/>
  <c r="L74" i="11"/>
  <c r="N74" i="11" s="1"/>
  <c r="L165" i="11"/>
  <c r="N165" i="11" s="1"/>
  <c r="L232" i="11"/>
  <c r="N232" i="11" s="1"/>
  <c r="L308" i="11"/>
  <c r="N308" i="11" s="1"/>
  <c r="L163" i="11"/>
  <c r="N163" i="11" s="1"/>
  <c r="L148" i="11"/>
  <c r="N148" i="11" s="1"/>
  <c r="L305" i="11"/>
  <c r="N305" i="11" s="1"/>
  <c r="L286" i="11"/>
  <c r="N286" i="11" s="1"/>
  <c r="L68" i="11"/>
  <c r="N68" i="11" s="1"/>
  <c r="L178" i="11"/>
  <c r="N178" i="11" s="1"/>
  <c r="L227" i="11"/>
  <c r="N227" i="11" s="1"/>
  <c r="L16" i="11"/>
  <c r="N16" i="11" s="1"/>
  <c r="L298" i="11"/>
  <c r="N298" i="11" s="1"/>
  <c r="L126" i="11"/>
  <c r="N126" i="11" s="1"/>
  <c r="L109" i="11"/>
  <c r="N109" i="11" s="1"/>
  <c r="L43" i="11"/>
  <c r="N43" i="11" s="1"/>
  <c r="L131" i="11"/>
  <c r="N131" i="11" s="1"/>
  <c r="L254" i="11"/>
  <c r="N254" i="11" s="1"/>
  <c r="L288" i="11"/>
  <c r="N288" i="11" s="1"/>
  <c r="L34" i="11"/>
  <c r="N34" i="11" s="1"/>
  <c r="L26" i="11"/>
  <c r="N26" i="11" s="1"/>
  <c r="L169" i="11"/>
  <c r="N169" i="11" s="1"/>
  <c r="L125" i="11"/>
  <c r="N125" i="11" s="1"/>
  <c r="L67" i="11"/>
  <c r="N67" i="11" s="1"/>
  <c r="L55" i="11"/>
  <c r="N55" i="11" s="1"/>
  <c r="L197" i="11"/>
  <c r="N197" i="11" s="1"/>
  <c r="L134" i="11"/>
  <c r="N134" i="11" s="1"/>
  <c r="L264" i="11"/>
  <c r="N264" i="11" s="1"/>
  <c r="L105" i="11"/>
  <c r="N105" i="11" s="1"/>
  <c r="L202" i="11"/>
  <c r="N202" i="11" s="1"/>
  <c r="L222" i="11"/>
  <c r="N222" i="11" s="1"/>
  <c r="L211" i="11"/>
  <c r="N211" i="11" s="1"/>
  <c r="L130" i="11"/>
  <c r="N130" i="11" s="1"/>
  <c r="L189" i="11"/>
  <c r="N189" i="11" s="1"/>
  <c r="L179" i="11"/>
  <c r="N179" i="11" s="1"/>
  <c r="L82" i="11"/>
  <c r="N82" i="11" s="1"/>
  <c r="L190" i="11"/>
  <c r="N190" i="11" s="1"/>
  <c r="L187" i="11"/>
  <c r="N187" i="11" s="1"/>
  <c r="L97" i="11"/>
  <c r="N97" i="11" s="1"/>
  <c r="L124" i="11"/>
  <c r="N124" i="11" s="1"/>
  <c r="L280" i="11"/>
  <c r="N280" i="11" s="1"/>
  <c r="L156" i="11"/>
  <c r="N156" i="11" s="1"/>
  <c r="L246" i="11"/>
  <c r="N246" i="11" s="1"/>
  <c r="L28" i="11"/>
  <c r="N28" i="11" s="1"/>
  <c r="L50" i="11"/>
  <c r="N50" i="11" s="1"/>
  <c r="L300" i="11"/>
  <c r="N300" i="11" s="1"/>
  <c r="L200" i="11"/>
  <c r="N200" i="11" s="1"/>
  <c r="L96" i="11"/>
  <c r="N96" i="11" s="1"/>
  <c r="L226" i="11"/>
  <c r="N226" i="11" s="1"/>
  <c r="L167" i="11"/>
  <c r="N167" i="11" s="1"/>
  <c r="L293" i="11"/>
  <c r="N293" i="11" s="1"/>
  <c r="L162" i="11"/>
  <c r="N162" i="11" s="1"/>
  <c r="L92" i="11"/>
  <c r="N92" i="11" s="1"/>
  <c r="L75" i="11"/>
  <c r="N75" i="11" s="1"/>
  <c r="L77" i="11"/>
  <c r="N77" i="11" s="1"/>
  <c r="L164" i="11"/>
  <c r="N164" i="11" s="1"/>
  <c r="L294" i="11"/>
  <c r="N294" i="11" s="1"/>
  <c r="L121" i="11"/>
  <c r="N121" i="11" s="1"/>
  <c r="L42" i="11"/>
  <c r="N42" i="11" s="1"/>
  <c r="R16" i="11" s="1"/>
  <c r="L111" i="11"/>
  <c r="N111" i="11" s="1"/>
  <c r="L240" i="11"/>
  <c r="N240" i="11" s="1"/>
  <c r="L33" i="11"/>
  <c r="N33" i="11" s="1"/>
  <c r="L217" i="11"/>
  <c r="N217" i="11" s="1"/>
  <c r="L41" i="11"/>
  <c r="N41" i="11" s="1"/>
  <c r="R15" i="11" s="1"/>
  <c r="D37" i="16" s="1"/>
  <c r="L273" i="11"/>
  <c r="N273" i="11" s="1"/>
  <c r="L209" i="11"/>
  <c r="N209" i="11" s="1"/>
  <c r="L191" i="11"/>
  <c r="N191" i="11" s="1"/>
  <c r="L122" i="11"/>
  <c r="N122" i="11" s="1"/>
  <c r="L255" i="11"/>
  <c r="N255" i="11" s="1"/>
  <c r="L54" i="11"/>
  <c r="N54" i="11" s="1"/>
  <c r="L115" i="11"/>
  <c r="N115" i="11" s="1"/>
  <c r="L285" i="11"/>
  <c r="N285" i="11" s="1"/>
  <c r="L52" i="11"/>
  <c r="N52" i="11" s="1"/>
  <c r="L100" i="11"/>
  <c r="N100" i="11" s="1"/>
  <c r="L230" i="11"/>
  <c r="N230" i="11" s="1"/>
  <c r="L171" i="11"/>
  <c r="N171" i="11" s="1"/>
  <c r="L297" i="11"/>
  <c r="N297" i="11" s="1"/>
  <c r="L157" i="11"/>
  <c r="N157" i="11" s="1"/>
  <c r="L270" i="11"/>
  <c r="N270" i="11" s="1"/>
  <c r="L248" i="11"/>
  <c r="N248" i="11" s="1"/>
  <c r="L149" i="11"/>
  <c r="N149" i="11" s="1"/>
  <c r="L238" i="11"/>
  <c r="N238" i="11" s="1"/>
  <c r="L216" i="11"/>
  <c r="N216" i="11" s="1"/>
  <c r="L154" i="11"/>
  <c r="N154" i="11" s="1"/>
  <c r="L116" i="11"/>
  <c r="N116" i="11" s="1"/>
  <c r="L272" i="11"/>
  <c r="N272" i="11" s="1"/>
  <c r="L283" i="11"/>
  <c r="N283" i="11" s="1"/>
  <c r="L213" i="11"/>
  <c r="N213" i="11" s="1"/>
  <c r="L118" i="11"/>
  <c r="N118" i="11" s="1"/>
  <c r="L146" i="11"/>
  <c r="N146" i="11" s="1"/>
  <c r="L224" i="11"/>
  <c r="N224" i="11" s="1"/>
  <c r="L76" i="11"/>
  <c r="N76" i="11" s="1"/>
  <c r="L17" i="11"/>
  <c r="N17" i="11" s="1"/>
  <c r="L103" i="11"/>
  <c r="N103" i="11" s="1"/>
  <c r="L233" i="11"/>
  <c r="N233" i="11" s="1"/>
  <c r="L128" i="11"/>
  <c r="N128" i="11" s="1"/>
  <c r="L132" i="11"/>
  <c r="N132" i="11" s="1"/>
  <c r="L262" i="11"/>
  <c r="N262" i="11" s="1"/>
  <c r="L203" i="11"/>
  <c r="N203" i="11" s="1"/>
  <c r="L141" i="11"/>
  <c r="N141" i="11" s="1"/>
  <c r="L235" i="11"/>
  <c r="N235" i="11" s="1"/>
  <c r="L140" i="11"/>
  <c r="N140" i="11" s="1"/>
  <c r="L106" i="11"/>
  <c r="N106" i="11" s="1"/>
  <c r="L289" i="11"/>
  <c r="N289" i="11" s="1"/>
  <c r="L108" i="11"/>
  <c r="N108" i="11" s="1"/>
  <c r="L278" i="11"/>
  <c r="N278" i="11" s="1"/>
  <c r="L256" i="11"/>
  <c r="N256" i="11" s="1"/>
  <c r="L166" i="11"/>
  <c r="N166" i="11" s="1"/>
  <c r="L205" i="11"/>
  <c r="N205" i="11" s="1"/>
  <c r="L90" i="11"/>
  <c r="N90" i="11" s="1"/>
  <c r="L36" i="11"/>
  <c r="N36" i="11" s="1"/>
  <c r="L303" i="11"/>
  <c r="N303" i="11" s="1"/>
  <c r="L214" i="11"/>
  <c r="N214" i="11" s="1"/>
  <c r="L93" i="11"/>
  <c r="N93" i="11" s="1"/>
  <c r="L113" i="11"/>
  <c r="N113" i="11" s="1"/>
  <c r="L47" i="11"/>
  <c r="N47" i="11" s="1"/>
  <c r="L49" i="11"/>
  <c r="N49" i="11" s="1"/>
  <c r="L135" i="11"/>
  <c r="N135" i="11" s="1"/>
  <c r="L265" i="11"/>
  <c r="N265" i="11" s="1"/>
  <c r="L161" i="11"/>
  <c r="N161" i="11" s="1"/>
  <c r="L291" i="11"/>
  <c r="N291" i="11" s="1"/>
  <c r="L228" i="11"/>
  <c r="N228" i="11" s="1"/>
  <c r="L102" i="11"/>
  <c r="N102" i="11" s="1"/>
  <c r="L89" i="11"/>
  <c r="N89" i="11" s="1"/>
  <c r="L72" i="11"/>
  <c r="N72" i="11" s="1"/>
  <c r="L78" i="11"/>
  <c r="N78" i="11" s="1"/>
  <c r="L99" i="11"/>
  <c r="N99" i="11" s="1"/>
  <c r="L229" i="11"/>
  <c r="N229" i="11" s="1"/>
  <c r="L129" i="11"/>
  <c r="N129" i="11" s="1"/>
  <c r="L23" i="11"/>
  <c r="N23" i="11" s="1"/>
  <c r="L65" i="11"/>
  <c r="N65" i="11" s="1"/>
  <c r="L192" i="11"/>
  <c r="N192" i="11" s="1"/>
  <c r="L39" i="11"/>
  <c r="N39" i="11" s="1"/>
  <c r="L95" i="11"/>
  <c r="N95" i="11" s="1"/>
  <c r="L60" i="11"/>
  <c r="N60" i="11" s="1"/>
  <c r="L143" i="11"/>
  <c r="N143" i="11" s="1"/>
  <c r="L120" i="11"/>
  <c r="N120" i="11" s="1"/>
  <c r="L299" i="11"/>
  <c r="N299" i="11" s="1"/>
  <c r="L276" i="11"/>
  <c r="N276" i="11" s="1"/>
  <c r="L223" i="11"/>
  <c r="N223" i="11" s="1"/>
  <c r="L27" i="11"/>
  <c r="N27" i="11" s="1"/>
  <c r="L69" i="11"/>
  <c r="N69" i="11" s="1"/>
  <c r="L204" i="11"/>
  <c r="N204" i="11" s="1"/>
  <c r="L31" i="11"/>
  <c r="N31" i="11" s="1"/>
  <c r="L87" i="11"/>
  <c r="N87" i="11" s="1"/>
  <c r="L32" i="12"/>
  <c r="L23" i="12"/>
  <c r="D74" i="16" s="1"/>
  <c r="E74" i="16" s="1"/>
  <c r="L29" i="12"/>
  <c r="D81" i="16"/>
  <c r="E81" i="16" s="1"/>
  <c r="L33" i="12"/>
  <c r="D84" i="16" s="1"/>
  <c r="E84" i="16" s="1"/>
  <c r="L26" i="12"/>
  <c r="L19" i="12"/>
  <c r="D70" i="16" s="1"/>
  <c r="E70" i="16" s="1"/>
  <c r="L27" i="12"/>
  <c r="L24" i="12"/>
  <c r="D75" i="16" s="1"/>
  <c r="E75" i="16" s="1"/>
  <c r="L21" i="12"/>
  <c r="D72" i="16" s="1"/>
  <c r="E72" i="16" s="1"/>
  <c r="L18" i="12"/>
  <c r="D69" i="16" s="1"/>
  <c r="E69" i="16" s="1"/>
  <c r="L34" i="12"/>
  <c r="D85" i="16" s="1"/>
  <c r="E85" i="16" s="1"/>
  <c r="L16" i="12"/>
  <c r="D67" i="16" s="1"/>
  <c r="E67" i="16" s="1"/>
  <c r="L17" i="12"/>
  <c r="L22" i="12"/>
  <c r="D73" i="16" s="1"/>
  <c r="E73" i="16" s="1"/>
  <c r="L25" i="12"/>
  <c r="D76" i="16" s="1"/>
  <c r="E76" i="16" s="1"/>
  <c r="L20" i="12"/>
  <c r="D71" i="16" s="1"/>
  <c r="E71" i="16" s="1"/>
  <c r="L28" i="12"/>
  <c r="D79" i="16" s="1"/>
  <c r="E79" i="16" s="1"/>
  <c r="D82" i="16"/>
  <c r="E82" i="16" s="1"/>
  <c r="I8" i="19"/>
  <c r="I27" i="14" s="1"/>
  <c r="I9" i="19"/>
  <c r="I28" i="14" s="1"/>
  <c r="I13" i="19"/>
  <c r="I32" i="14" s="1"/>
  <c r="I14" i="19"/>
  <c r="I33" i="14" s="1"/>
  <c r="I6" i="19"/>
  <c r="I25" i="14" s="1"/>
  <c r="I12" i="19"/>
  <c r="I31" i="14" s="1"/>
  <c r="I18" i="19"/>
  <c r="I37" i="14" s="1"/>
  <c r="I5" i="19"/>
  <c r="I24" i="14" s="1"/>
  <c r="I17" i="19"/>
  <c r="I36" i="14" s="1"/>
  <c r="I23" i="19"/>
  <c r="I42" i="14" s="1"/>
  <c r="I16" i="19"/>
  <c r="I35" i="14" s="1"/>
  <c r="I19" i="19"/>
  <c r="I38" i="14" s="1"/>
  <c r="I21" i="19"/>
  <c r="I40" i="14" s="1"/>
  <c r="I11" i="19"/>
  <c r="I30" i="14" s="1"/>
  <c r="I20" i="19"/>
  <c r="I39" i="14" s="1"/>
  <c r="I7" i="19"/>
  <c r="I26" i="14" s="1"/>
  <c r="I25" i="19"/>
  <c r="I44" i="14" s="1"/>
  <c r="I22" i="19"/>
  <c r="I41" i="14" s="1"/>
  <c r="I26" i="19"/>
  <c r="I45" i="14" s="1"/>
  <c r="I10" i="19"/>
  <c r="I29" i="14" s="1"/>
  <c r="I24" i="19"/>
  <c r="I43" i="14" s="1"/>
  <c r="I23" i="14"/>
  <c r="I15" i="19"/>
  <c r="I34" i="14" s="1"/>
  <c r="G7" i="22"/>
  <c r="G11" i="22"/>
  <c r="G15" i="22"/>
  <c r="G19" i="22"/>
  <c r="G23" i="22"/>
  <c r="G25" i="22"/>
  <c r="G9" i="22"/>
  <c r="G20" i="22"/>
  <c r="G14" i="22"/>
  <c r="G17" i="22"/>
  <c r="G12" i="22"/>
  <c r="G22" i="22"/>
  <c r="G21" i="22"/>
  <c r="G5" i="22"/>
  <c r="G16" i="22"/>
  <c r="G10" i="22"/>
  <c r="G13" i="22"/>
  <c r="G8" i="22"/>
  <c r="G6" i="22"/>
  <c r="G24" i="22"/>
  <c r="G18" i="22"/>
  <c r="D65" i="16"/>
  <c r="E65" i="16" s="1"/>
  <c r="H45" i="14"/>
  <c r="D66" i="16"/>
  <c r="E66" i="16" s="1"/>
  <c r="E27" i="15"/>
  <c r="D83" i="16"/>
  <c r="E83" i="16" s="1"/>
  <c r="R32" i="11" l="1"/>
  <c r="R30" i="11"/>
  <c r="C58" i="9"/>
  <c r="K25" i="23"/>
  <c r="M25" i="23"/>
  <c r="L25" i="23"/>
  <c r="C59" i="9"/>
  <c r="C60" i="9" s="1"/>
  <c r="E37" i="16"/>
  <c r="N25" i="23"/>
  <c r="R3" i="23" s="1"/>
  <c r="N14" i="11"/>
  <c r="R34" i="11"/>
  <c r="D56" i="16" s="1"/>
  <c r="R17" i="11"/>
  <c r="D39" i="16" s="1"/>
  <c r="R33" i="11"/>
  <c r="D55" i="16" s="1"/>
  <c r="R28" i="11"/>
  <c r="D50" i="16" s="1"/>
  <c r="R25" i="11"/>
  <c r="R20" i="11"/>
  <c r="D42" i="16" s="1"/>
  <c r="R24" i="11"/>
  <c r="D46" i="16" s="1"/>
  <c r="R22" i="11"/>
  <c r="D44" i="16" s="1"/>
  <c r="R27" i="11"/>
  <c r="D49" i="16" s="1"/>
  <c r="R21" i="11"/>
  <c r="D43" i="16" s="1"/>
  <c r="R36" i="11"/>
  <c r="D58" i="16" s="1"/>
  <c r="R19" i="11"/>
  <c r="R31" i="11"/>
  <c r="R23" i="11"/>
  <c r="D45" i="16" s="1"/>
  <c r="R35" i="11"/>
  <c r="D57" i="16" s="1"/>
  <c r="R29" i="11"/>
  <c r="D51" i="16" s="1"/>
  <c r="R26" i="11"/>
  <c r="D48" i="16" s="1"/>
  <c r="D77" i="16"/>
  <c r="E77" i="16" s="1"/>
  <c r="D78" i="16"/>
  <c r="E78" i="16" s="1"/>
  <c r="D68" i="16"/>
  <c r="E68" i="16" s="1"/>
  <c r="D64" i="16"/>
  <c r="E64" i="16" s="1"/>
  <c r="L12" i="12"/>
  <c r="D40" i="16"/>
  <c r="D41" i="16"/>
  <c r="K25" i="14"/>
  <c r="K35" i="14"/>
  <c r="K31" i="14"/>
  <c r="K39" i="14"/>
  <c r="K38" i="14"/>
  <c r="D80" i="16"/>
  <c r="E80" i="16" s="1"/>
  <c r="D18" i="15"/>
  <c r="D20" i="15"/>
  <c r="D22" i="15"/>
  <c r="D24" i="15"/>
  <c r="D26" i="15"/>
  <c r="D28" i="15"/>
  <c r="D30" i="15"/>
  <c r="D32" i="15"/>
  <c r="D34" i="15"/>
  <c r="D36" i="15"/>
  <c r="D38" i="15"/>
  <c r="D40" i="15"/>
  <c r="D19" i="15"/>
  <c r="D21" i="15"/>
  <c r="D23" i="15"/>
  <c r="D25" i="15"/>
  <c r="D27" i="15"/>
  <c r="D29" i="15"/>
  <c r="D31" i="15"/>
  <c r="D33" i="15"/>
  <c r="D35" i="15"/>
  <c r="D37" i="15"/>
  <c r="D39" i="15"/>
  <c r="D52" i="16"/>
  <c r="K27" i="14"/>
  <c r="K24" i="14"/>
  <c r="K36" i="14"/>
  <c r="K28" i="14"/>
  <c r="K34" i="14"/>
  <c r="E40" i="15"/>
  <c r="E22" i="15"/>
  <c r="E20" i="15"/>
  <c r="E28" i="15"/>
  <c r="E30" i="15"/>
  <c r="E18" i="15"/>
  <c r="E36" i="15"/>
  <c r="E24" i="15"/>
  <c r="E26" i="15"/>
  <c r="E34" i="15"/>
  <c r="E21" i="15"/>
  <c r="E23" i="15"/>
  <c r="E29" i="15"/>
  <c r="E35" i="15"/>
  <c r="E37" i="15"/>
  <c r="E39" i="15"/>
  <c r="E33" i="15"/>
  <c r="E32" i="15"/>
  <c r="E38" i="15"/>
  <c r="E19" i="15"/>
  <c r="E31" i="15"/>
  <c r="E25" i="15"/>
  <c r="K37" i="14"/>
  <c r="K32" i="14"/>
  <c r="K40" i="14"/>
  <c r="K33" i="14"/>
  <c r="K44" i="14"/>
  <c r="K30" i="14"/>
  <c r="D54" i="16"/>
  <c r="D38" i="16"/>
  <c r="K43" i="14"/>
  <c r="K29" i="14"/>
  <c r="K41" i="14"/>
  <c r="K23" i="14"/>
  <c r="K42" i="14"/>
  <c r="K26" i="14"/>
  <c r="D47" i="16"/>
  <c r="Q7" i="23" l="1"/>
  <c r="Q11" i="23"/>
  <c r="Q15" i="23"/>
  <c r="Q19" i="23"/>
  <c r="Q23" i="23"/>
  <c r="Q3" i="23"/>
  <c r="Q5" i="23"/>
  <c r="Q13" i="23"/>
  <c r="Q4" i="23"/>
  <c r="Q12" i="23"/>
  <c r="Q20" i="23"/>
  <c r="Q6" i="23"/>
  <c r="Q10" i="23"/>
  <c r="Q14" i="23"/>
  <c r="Q18" i="23"/>
  <c r="Q22" i="23"/>
  <c r="Q9" i="23"/>
  <c r="Q17" i="23"/>
  <c r="Q21" i="23"/>
  <c r="Q8" i="23"/>
  <c r="Q16" i="23"/>
  <c r="Q24" i="23"/>
  <c r="O5" i="23"/>
  <c r="O9" i="23"/>
  <c r="O13" i="23"/>
  <c r="O17" i="23"/>
  <c r="O21" i="23"/>
  <c r="O11" i="23"/>
  <c r="O23" i="23"/>
  <c r="O3" i="23"/>
  <c r="O10" i="23"/>
  <c r="O18" i="23"/>
  <c r="O4" i="23"/>
  <c r="O8" i="23"/>
  <c r="O12" i="23"/>
  <c r="O16" i="23"/>
  <c r="O20" i="23"/>
  <c r="O24" i="23"/>
  <c r="O7" i="23"/>
  <c r="O15" i="23"/>
  <c r="O19" i="23"/>
  <c r="O6" i="23"/>
  <c r="O14" i="23"/>
  <c r="O22" i="23"/>
  <c r="P6" i="23"/>
  <c r="P10" i="23"/>
  <c r="P14" i="23"/>
  <c r="P18" i="23"/>
  <c r="P22" i="23"/>
  <c r="P8" i="23"/>
  <c r="P16" i="23"/>
  <c r="P20" i="23"/>
  <c r="P7" i="23"/>
  <c r="P15" i="23"/>
  <c r="P23" i="23"/>
  <c r="P5" i="23"/>
  <c r="P9" i="23"/>
  <c r="P13" i="23"/>
  <c r="P17" i="23"/>
  <c r="P21" i="23"/>
  <c r="P3" i="23"/>
  <c r="E23" i="14" s="1"/>
  <c r="P4" i="23"/>
  <c r="P12" i="23"/>
  <c r="P24" i="23"/>
  <c r="P11" i="23"/>
  <c r="P19" i="23"/>
  <c r="E56" i="16"/>
  <c r="E50" i="16"/>
  <c r="E39" i="16"/>
  <c r="E51" i="16"/>
  <c r="E44" i="16"/>
  <c r="E40" i="16"/>
  <c r="E57" i="16"/>
  <c r="E58" i="16"/>
  <c r="E46" i="16"/>
  <c r="E55" i="16"/>
  <c r="E47" i="16"/>
  <c r="E52" i="16"/>
  <c r="E45" i="16"/>
  <c r="E43" i="16"/>
  <c r="E42" i="16"/>
  <c r="E38" i="16"/>
  <c r="E54" i="16"/>
  <c r="E41" i="16"/>
  <c r="E48" i="16"/>
  <c r="E49" i="16"/>
  <c r="R25" i="23"/>
  <c r="R12" i="23"/>
  <c r="R19" i="23"/>
  <c r="R15" i="23"/>
  <c r="R16" i="23"/>
  <c r="R7" i="23"/>
  <c r="R23" i="23"/>
  <c r="R4" i="23"/>
  <c r="R20" i="23"/>
  <c r="R11" i="23"/>
  <c r="R8" i="23"/>
  <c r="R24" i="23"/>
  <c r="R22" i="23"/>
  <c r="R17" i="23"/>
  <c r="R10" i="23"/>
  <c r="R9" i="23"/>
  <c r="R6" i="23"/>
  <c r="R13" i="23"/>
  <c r="R5" i="23"/>
  <c r="R21" i="23"/>
  <c r="R18" i="23"/>
  <c r="R14" i="23"/>
  <c r="D23" i="14"/>
  <c r="D22" i="16"/>
  <c r="E22" i="16" s="1"/>
  <c r="D21" i="16"/>
  <c r="E21" i="16" s="1"/>
  <c r="D18" i="16"/>
  <c r="E18" i="16" s="1"/>
  <c r="D28" i="16"/>
  <c r="E28" i="16" s="1"/>
  <c r="D15" i="16"/>
  <c r="E15" i="16" s="1"/>
  <c r="D16" i="16"/>
  <c r="E16" i="16" s="1"/>
  <c r="D31" i="16"/>
  <c r="E31" i="16" s="1"/>
  <c r="D10" i="16"/>
  <c r="E10" i="16" s="1"/>
  <c r="D25" i="16"/>
  <c r="D24" i="16"/>
  <c r="D23" i="16"/>
  <c r="D12" i="16"/>
  <c r="D17" i="16"/>
  <c r="E17" i="16" s="1"/>
  <c r="D14" i="16"/>
  <c r="D13" i="16"/>
  <c r="D29" i="16"/>
  <c r="D19" i="16"/>
  <c r="D11" i="16"/>
  <c r="D30" i="16"/>
  <c r="E30" i="16" s="1"/>
  <c r="D53" i="16"/>
  <c r="D59" i="16" s="1"/>
  <c r="D20" i="16"/>
  <c r="E20" i="16" s="1"/>
  <c r="D27" i="16"/>
  <c r="E27" i="16" s="1"/>
  <c r="R14" i="11"/>
  <c r="D86" i="16"/>
  <c r="E86" i="16" s="1"/>
  <c r="D16" i="17" l="1"/>
  <c r="D22" i="17"/>
  <c r="D23" i="17"/>
  <c r="D32" i="17"/>
  <c r="D19" i="17"/>
  <c r="D29" i="17"/>
  <c r="E42" i="14"/>
  <c r="E26" i="14"/>
  <c r="F43" i="14"/>
  <c r="F27" i="14"/>
  <c r="D24" i="14"/>
  <c r="E37" i="14"/>
  <c r="D43" i="14"/>
  <c r="F30" i="14"/>
  <c r="D30" i="14"/>
  <c r="E40" i="14"/>
  <c r="E32" i="14"/>
  <c r="E24" i="14"/>
  <c r="D33" i="14"/>
  <c r="F41" i="14"/>
  <c r="F33" i="14"/>
  <c r="F25" i="14"/>
  <c r="D36" i="14"/>
  <c r="E43" i="14"/>
  <c r="E35" i="14"/>
  <c r="E27" i="14"/>
  <c r="D39" i="14"/>
  <c r="F44" i="14"/>
  <c r="F36" i="14"/>
  <c r="F28" i="14"/>
  <c r="D34" i="14"/>
  <c r="E34" i="14"/>
  <c r="D37" i="14"/>
  <c r="F35" i="14"/>
  <c r="D40" i="14"/>
  <c r="E29" i="14"/>
  <c r="D27" i="14"/>
  <c r="F38" i="14"/>
  <c r="D42" i="14"/>
  <c r="D26" i="14"/>
  <c r="E38" i="14"/>
  <c r="E30" i="14"/>
  <c r="D29" i="14"/>
  <c r="F39" i="14"/>
  <c r="F31" i="14"/>
  <c r="F23" i="14"/>
  <c r="D32" i="14"/>
  <c r="E41" i="14"/>
  <c r="E33" i="14"/>
  <c r="E25" i="14"/>
  <c r="D35" i="14"/>
  <c r="F42" i="14"/>
  <c r="F34" i="14"/>
  <c r="F26" i="14"/>
  <c r="D38" i="14"/>
  <c r="E44" i="14"/>
  <c r="E36" i="14"/>
  <c r="E28" i="14"/>
  <c r="D41" i="14"/>
  <c r="D25" i="14"/>
  <c r="F37" i="14"/>
  <c r="F29" i="14"/>
  <c r="D44" i="14"/>
  <c r="D28" i="14"/>
  <c r="E39" i="14"/>
  <c r="E31" i="14"/>
  <c r="D31" i="14"/>
  <c r="F40" i="14"/>
  <c r="F32" i="14"/>
  <c r="F24" i="14"/>
  <c r="D17" i="17"/>
  <c r="D20" i="17"/>
  <c r="E19" i="16"/>
  <c r="D30" i="17"/>
  <c r="E29" i="16"/>
  <c r="D13" i="17"/>
  <c r="E12" i="16"/>
  <c r="D12" i="17"/>
  <c r="E11" i="16"/>
  <c r="D14" i="17"/>
  <c r="E13" i="16"/>
  <c r="D24" i="17"/>
  <c r="E23" i="16"/>
  <c r="D26" i="17"/>
  <c r="E25" i="16"/>
  <c r="D26" i="16"/>
  <c r="E26" i="16" s="1"/>
  <c r="E53" i="16"/>
  <c r="D15" i="17"/>
  <c r="E14" i="16"/>
  <c r="D25" i="17"/>
  <c r="E24" i="16"/>
  <c r="D11" i="17"/>
  <c r="D18" i="17"/>
  <c r="A11" i="14"/>
  <c r="E59" i="16"/>
  <c r="D28" i="17"/>
  <c r="D31" i="17"/>
  <c r="D21" i="17"/>
  <c r="L15" i="14" l="1"/>
  <c r="B17" i="14" s="1"/>
  <c r="B18" i="14" s="1"/>
  <c r="C50" i="14" s="1"/>
  <c r="G17" i="14"/>
  <c r="D17" i="14"/>
  <c r="D18" i="14" s="1"/>
  <c r="D50" i="14" s="1"/>
  <c r="D27" i="17"/>
  <c r="D33" i="17" s="1"/>
  <c r="D32" i="16"/>
  <c r="E32" i="16" s="1"/>
  <c r="E17" i="14"/>
  <c r="E18" i="14" s="1"/>
  <c r="I17" i="14"/>
  <c r="F17" i="14"/>
  <c r="F18" i="14" s="1"/>
  <c r="J17" i="14"/>
  <c r="J18" i="14" s="1"/>
  <c r="C17" i="14"/>
  <c r="H17" i="14"/>
  <c r="K17" i="14"/>
  <c r="C11" i="14"/>
  <c r="H18" i="14" l="1"/>
  <c r="H50" i="14" s="1"/>
  <c r="I18" i="14"/>
  <c r="I50" i="14" s="1"/>
  <c r="G18" i="14"/>
  <c r="G50" i="14" s="1"/>
  <c r="C91" i="16"/>
  <c r="C79" i="14"/>
  <c r="M17" i="14"/>
  <c r="D56" i="14"/>
  <c r="J109" i="14"/>
  <c r="J113" i="14"/>
  <c r="J117" i="14"/>
  <c r="J121" i="14"/>
  <c r="J125" i="14"/>
  <c r="J110" i="14"/>
  <c r="J114" i="14"/>
  <c r="J118" i="14"/>
  <c r="J122" i="14"/>
  <c r="J126" i="14"/>
  <c r="J107" i="14"/>
  <c r="J111" i="14"/>
  <c r="J115" i="14"/>
  <c r="J119" i="14"/>
  <c r="J123" i="14"/>
  <c r="J127" i="14"/>
  <c r="J108" i="14"/>
  <c r="J112" i="14"/>
  <c r="J116" i="14"/>
  <c r="J120" i="14"/>
  <c r="J124" i="14"/>
  <c r="J106" i="14"/>
  <c r="J63" i="14"/>
  <c r="J71" i="14"/>
  <c r="J52" i="14"/>
  <c r="J60" i="14"/>
  <c r="J68" i="14"/>
  <c r="J51" i="14"/>
  <c r="J55" i="14"/>
  <c r="J59" i="14"/>
  <c r="J67" i="14"/>
  <c r="J56" i="14"/>
  <c r="J64" i="14"/>
  <c r="J70" i="14"/>
  <c r="J54" i="14"/>
  <c r="J57" i="14"/>
  <c r="J58" i="14"/>
  <c r="J66" i="14"/>
  <c r="J69" i="14"/>
  <c r="J53" i="14"/>
  <c r="J62" i="14"/>
  <c r="J65" i="14"/>
  <c r="J50" i="14"/>
  <c r="J61" i="14"/>
  <c r="H117" i="14"/>
  <c r="H118" i="14"/>
  <c r="H71" i="14"/>
  <c r="H122" i="14"/>
  <c r="H127" i="14"/>
  <c r="H115" i="14"/>
  <c r="H69" i="14"/>
  <c r="H63" i="14"/>
  <c r="H120" i="14"/>
  <c r="H70" i="14"/>
  <c r="H107" i="14"/>
  <c r="H106" i="14"/>
  <c r="H66" i="14"/>
  <c r="H56" i="14"/>
  <c r="H62" i="14"/>
  <c r="H67" i="14"/>
  <c r="H116" i="14"/>
  <c r="H126" i="14"/>
  <c r="H68" i="14"/>
  <c r="H61" i="14"/>
  <c r="H110" i="14"/>
  <c r="H51" i="14"/>
  <c r="H119" i="14"/>
  <c r="H53" i="14"/>
  <c r="H108" i="14"/>
  <c r="H55" i="14"/>
  <c r="H60" i="14"/>
  <c r="H114" i="14"/>
  <c r="H57" i="14"/>
  <c r="H109" i="14"/>
  <c r="H59" i="14"/>
  <c r="H124" i="14"/>
  <c r="H123" i="14"/>
  <c r="H112" i="14"/>
  <c r="H58" i="14"/>
  <c r="H121" i="14"/>
  <c r="H52" i="14"/>
  <c r="H113" i="14"/>
  <c r="H111" i="14"/>
  <c r="H64" i="14"/>
  <c r="H125" i="14"/>
  <c r="H54" i="14"/>
  <c r="H65" i="14"/>
  <c r="F52" i="14"/>
  <c r="F67" i="14"/>
  <c r="F57" i="14"/>
  <c r="F62" i="14"/>
  <c r="F61" i="14"/>
  <c r="F55" i="14"/>
  <c r="F63" i="14"/>
  <c r="F59" i="14"/>
  <c r="F53" i="14"/>
  <c r="F71" i="14"/>
  <c r="F65" i="14"/>
  <c r="F108" i="14"/>
  <c r="F123" i="14"/>
  <c r="F113" i="14"/>
  <c r="F118" i="14"/>
  <c r="F117" i="14"/>
  <c r="F111" i="14"/>
  <c r="F119" i="14"/>
  <c r="F115" i="14"/>
  <c r="F109" i="14"/>
  <c r="F127" i="14"/>
  <c r="F121" i="14"/>
  <c r="F110" i="14"/>
  <c r="F107" i="14"/>
  <c r="F120" i="14"/>
  <c r="F106" i="14"/>
  <c r="F116" i="14"/>
  <c r="F54" i="14"/>
  <c r="F51" i="14"/>
  <c r="F56" i="14"/>
  <c r="F64" i="14"/>
  <c r="F70" i="14"/>
  <c r="F50" i="14"/>
  <c r="F58" i="14"/>
  <c r="F68" i="14"/>
  <c r="F60" i="14"/>
  <c r="F66" i="14"/>
  <c r="F69" i="14"/>
  <c r="F112" i="14"/>
  <c r="F126" i="14"/>
  <c r="F114" i="14"/>
  <c r="F124" i="14"/>
  <c r="F122" i="14"/>
  <c r="F125" i="14"/>
  <c r="G62" i="14"/>
  <c r="G112" i="14"/>
  <c r="D62" i="14"/>
  <c r="D60" i="14"/>
  <c r="D54" i="14"/>
  <c r="D66" i="14"/>
  <c r="D65" i="14"/>
  <c r="D55" i="14"/>
  <c r="D57" i="14"/>
  <c r="D63" i="14"/>
  <c r="D68" i="14"/>
  <c r="D59" i="14"/>
  <c r="D106" i="14"/>
  <c r="D118" i="14"/>
  <c r="D116" i="14"/>
  <c r="D110" i="14"/>
  <c r="D122" i="14"/>
  <c r="D121" i="14"/>
  <c r="D111" i="14"/>
  <c r="D113" i="14"/>
  <c r="D119" i="14"/>
  <c r="D124" i="14"/>
  <c r="D115" i="14"/>
  <c r="D123" i="14"/>
  <c r="D125" i="14"/>
  <c r="D120" i="14"/>
  <c r="D127" i="14"/>
  <c r="D117" i="14"/>
  <c r="D114" i="14"/>
  <c r="D67" i="14"/>
  <c r="D53" i="14"/>
  <c r="D51" i="14"/>
  <c r="D52" i="14"/>
  <c r="D69" i="14"/>
  <c r="D64" i="14"/>
  <c r="D71" i="14"/>
  <c r="D61" i="14"/>
  <c r="D70" i="14"/>
  <c r="D58" i="14"/>
  <c r="D109" i="14"/>
  <c r="D107" i="14"/>
  <c r="D112" i="14"/>
  <c r="D108" i="14"/>
  <c r="D126" i="14"/>
  <c r="K18" i="14"/>
  <c r="E58" i="14"/>
  <c r="E50" i="14"/>
  <c r="E71" i="14"/>
  <c r="E59" i="14"/>
  <c r="E64" i="14"/>
  <c r="E53" i="14"/>
  <c r="E68" i="14"/>
  <c r="E56" i="14"/>
  <c r="E65" i="14"/>
  <c r="E57" i="14"/>
  <c r="E54" i="14"/>
  <c r="E67" i="14"/>
  <c r="E114" i="14"/>
  <c r="E106" i="14"/>
  <c r="E127" i="14"/>
  <c r="E115" i="14"/>
  <c r="E120" i="14"/>
  <c r="E109" i="14"/>
  <c r="E124" i="14"/>
  <c r="E112" i="14"/>
  <c r="E121" i="14"/>
  <c r="E113" i="14"/>
  <c r="E110" i="14"/>
  <c r="E123" i="14"/>
  <c r="E126" i="14"/>
  <c r="E117" i="14"/>
  <c r="E118" i="14"/>
  <c r="E111" i="14"/>
  <c r="E125" i="14"/>
  <c r="E66" i="14"/>
  <c r="E70" i="14"/>
  <c r="E60" i="14"/>
  <c r="E61" i="14"/>
  <c r="E62" i="14"/>
  <c r="E55" i="14"/>
  <c r="E51" i="14"/>
  <c r="E52" i="14"/>
  <c r="E69" i="14"/>
  <c r="E63" i="14"/>
  <c r="E122" i="14"/>
  <c r="E116" i="14"/>
  <c r="E107" i="14"/>
  <c r="E108" i="14"/>
  <c r="E119" i="14"/>
  <c r="G116" i="14" l="1"/>
  <c r="G118" i="14"/>
  <c r="G64" i="14"/>
  <c r="G93" i="14" s="1"/>
  <c r="G115" i="14"/>
  <c r="G142" i="14" s="1"/>
  <c r="G124" i="14"/>
  <c r="G151" i="14" s="1"/>
  <c r="G60" i="14"/>
  <c r="G89" i="14" s="1"/>
  <c r="G58" i="14"/>
  <c r="G87" i="14" s="1"/>
  <c r="G52" i="14"/>
  <c r="G81" i="14" s="1"/>
  <c r="G53" i="14"/>
  <c r="G107" i="14"/>
  <c r="G134" i="14" s="1"/>
  <c r="G108" i="14"/>
  <c r="G135" i="14" s="1"/>
  <c r="G63" i="14"/>
  <c r="G92" i="14" s="1"/>
  <c r="G120" i="14"/>
  <c r="G147" i="14" s="1"/>
  <c r="G121" i="14"/>
  <c r="G148" i="14" s="1"/>
  <c r="G70" i="14"/>
  <c r="G57" i="14"/>
  <c r="G86" i="14" s="1"/>
  <c r="G113" i="14"/>
  <c r="G154" i="16" s="1"/>
  <c r="G182" i="16" s="1"/>
  <c r="G65" i="14"/>
  <c r="G94" i="14" s="1"/>
  <c r="G123" i="14"/>
  <c r="G164" i="16" s="1"/>
  <c r="G192" i="16" s="1"/>
  <c r="G110" i="14"/>
  <c r="G137" i="14" s="1"/>
  <c r="G55" i="14"/>
  <c r="G68" i="14"/>
  <c r="G109" i="16" s="1"/>
  <c r="G137" i="16" s="1"/>
  <c r="G109" i="14"/>
  <c r="G150" i="16" s="1"/>
  <c r="G178" i="16" s="1"/>
  <c r="G56" i="14"/>
  <c r="G85" i="14" s="1"/>
  <c r="G51" i="14"/>
  <c r="G80" i="14" s="1"/>
  <c r="G66" i="14"/>
  <c r="G95" i="14" s="1"/>
  <c r="G114" i="14"/>
  <c r="G141" i="14" s="1"/>
  <c r="G59" i="14"/>
  <c r="G88" i="14" s="1"/>
  <c r="G61" i="14"/>
  <c r="G90" i="14" s="1"/>
  <c r="G54" i="14"/>
  <c r="G95" i="16" s="1"/>
  <c r="G123" i="16" s="1"/>
  <c r="G71" i="14"/>
  <c r="G100" i="14" s="1"/>
  <c r="G69" i="14"/>
  <c r="G98" i="14" s="1"/>
  <c r="G122" i="14"/>
  <c r="G149" i="14" s="1"/>
  <c r="G125" i="14"/>
  <c r="G152" i="14" s="1"/>
  <c r="G117" i="14"/>
  <c r="G158" i="16" s="1"/>
  <c r="G186" i="16" s="1"/>
  <c r="G127" i="14"/>
  <c r="G154" i="14" s="1"/>
  <c r="G126" i="14"/>
  <c r="G167" i="16" s="1"/>
  <c r="G195" i="16" s="1"/>
  <c r="G67" i="14"/>
  <c r="G108" i="16" s="1"/>
  <c r="G136" i="16" s="1"/>
  <c r="G111" i="14"/>
  <c r="G152" i="16" s="1"/>
  <c r="G180" i="16" s="1"/>
  <c r="G119" i="14"/>
  <c r="G146" i="14" s="1"/>
  <c r="G106" i="14"/>
  <c r="G147" i="16" s="1"/>
  <c r="G175" i="16" s="1"/>
  <c r="M15" i="14"/>
  <c r="E149" i="14"/>
  <c r="E163" i="16"/>
  <c r="E191" i="16" s="1"/>
  <c r="E89" i="14"/>
  <c r="E101" i="16"/>
  <c r="E129" i="16" s="1"/>
  <c r="E150" i="14"/>
  <c r="E164" i="16"/>
  <c r="E192" i="16" s="1"/>
  <c r="E142" i="14"/>
  <c r="E156" i="16"/>
  <c r="E184" i="16" s="1"/>
  <c r="E85" i="14"/>
  <c r="E97" i="16"/>
  <c r="E125" i="16" s="1"/>
  <c r="D87" i="14"/>
  <c r="D99" i="16"/>
  <c r="D127" i="16" s="1"/>
  <c r="D80" i="14"/>
  <c r="D92" i="16"/>
  <c r="D120" i="16" s="1"/>
  <c r="D150" i="14"/>
  <c r="D164" i="16"/>
  <c r="D192" i="16" s="1"/>
  <c r="D137" i="14"/>
  <c r="D151" i="16"/>
  <c r="D179" i="16" s="1"/>
  <c r="D89" i="14"/>
  <c r="D101" i="16"/>
  <c r="D129" i="16" s="1"/>
  <c r="G99" i="14"/>
  <c r="G111" i="16"/>
  <c r="G139" i="16" s="1"/>
  <c r="G139" i="14"/>
  <c r="G153" i="16"/>
  <c r="G181" i="16" s="1"/>
  <c r="F98" i="14"/>
  <c r="F110" i="16"/>
  <c r="F138" i="16" s="1"/>
  <c r="F85" i="14"/>
  <c r="F97" i="16"/>
  <c r="F125" i="16" s="1"/>
  <c r="F148" i="14"/>
  <c r="F162" i="16"/>
  <c r="F190" i="16" s="1"/>
  <c r="F140" i="14"/>
  <c r="F154" i="16"/>
  <c r="F182" i="16" s="1"/>
  <c r="F84" i="14"/>
  <c r="F96" i="16"/>
  <c r="F124" i="16" s="1"/>
  <c r="H152" i="14"/>
  <c r="H166" i="16"/>
  <c r="H194" i="16" s="1"/>
  <c r="H150" i="14"/>
  <c r="H164" i="16"/>
  <c r="H192" i="16" s="1"/>
  <c r="H135" i="14"/>
  <c r="H149" i="16"/>
  <c r="H177" i="16" s="1"/>
  <c r="H143" i="14"/>
  <c r="H157" i="16"/>
  <c r="H185" i="16" s="1"/>
  <c r="H147" i="14"/>
  <c r="H161" i="16"/>
  <c r="H189" i="16" s="1"/>
  <c r="H145" i="14"/>
  <c r="H159" i="16"/>
  <c r="H187" i="16" s="1"/>
  <c r="J79" i="14"/>
  <c r="J91" i="16"/>
  <c r="J119" i="16" s="1"/>
  <c r="J83" i="14"/>
  <c r="J95" i="16"/>
  <c r="J123" i="16" s="1"/>
  <c r="J97" i="14"/>
  <c r="J109" i="16"/>
  <c r="J137" i="16" s="1"/>
  <c r="J143" i="14"/>
  <c r="J157" i="16"/>
  <c r="J185" i="16" s="1"/>
  <c r="J134" i="14"/>
  <c r="J148" i="16"/>
  <c r="J176" i="16" s="1"/>
  <c r="J144" i="14"/>
  <c r="J158" i="16"/>
  <c r="J186" i="16" s="1"/>
  <c r="E135" i="14"/>
  <c r="E149" i="16"/>
  <c r="E177" i="16" s="1"/>
  <c r="E84" i="14"/>
  <c r="E96" i="16"/>
  <c r="E124" i="16" s="1"/>
  <c r="E145" i="14"/>
  <c r="E159" i="16"/>
  <c r="E187" i="16" s="1"/>
  <c r="E151" i="14"/>
  <c r="E165" i="16"/>
  <c r="E193" i="16" s="1"/>
  <c r="E83" i="14"/>
  <c r="E95" i="16"/>
  <c r="E123" i="16" s="1"/>
  <c r="E100" i="14"/>
  <c r="E112" i="16"/>
  <c r="E140" i="16" s="1"/>
  <c r="D139" i="14"/>
  <c r="D153" i="16"/>
  <c r="D181" i="16" s="1"/>
  <c r="D93" i="14"/>
  <c r="D105" i="16"/>
  <c r="D133" i="16" s="1"/>
  <c r="D154" i="14"/>
  <c r="D168" i="16"/>
  <c r="D196" i="16" s="1"/>
  <c r="D138" i="14"/>
  <c r="D152" i="16"/>
  <c r="D180" i="16" s="1"/>
  <c r="D97" i="14"/>
  <c r="D109" i="16"/>
  <c r="D137" i="16" s="1"/>
  <c r="D91" i="14"/>
  <c r="D103" i="16"/>
  <c r="D131" i="16" s="1"/>
  <c r="G79" i="14"/>
  <c r="G91" i="16"/>
  <c r="G119" i="16" s="1"/>
  <c r="G140" i="14"/>
  <c r="G150" i="14"/>
  <c r="F141" i="14"/>
  <c r="F155" i="16"/>
  <c r="F183" i="16" s="1"/>
  <c r="F79" i="14"/>
  <c r="F91" i="16"/>
  <c r="F119" i="16" s="1"/>
  <c r="F147" i="14"/>
  <c r="F161" i="16"/>
  <c r="F189" i="16" s="1"/>
  <c r="F138" i="14"/>
  <c r="F152" i="16"/>
  <c r="F180" i="16" s="1"/>
  <c r="F82" i="14"/>
  <c r="F94" i="16"/>
  <c r="F122" i="16" s="1"/>
  <c r="F90" i="14"/>
  <c r="F102" i="16"/>
  <c r="F130" i="16" s="1"/>
  <c r="H93" i="14"/>
  <c r="H105" i="16"/>
  <c r="H133" i="16" s="1"/>
  <c r="H151" i="14"/>
  <c r="H165" i="16"/>
  <c r="H193" i="16" s="1"/>
  <c r="H82" i="14"/>
  <c r="H94" i="16"/>
  <c r="H122" i="16" s="1"/>
  <c r="H96" i="14"/>
  <c r="H108" i="16"/>
  <c r="H136" i="16" s="1"/>
  <c r="H154" i="14"/>
  <c r="H168" i="16"/>
  <c r="H196" i="16" s="1"/>
  <c r="J95" i="14"/>
  <c r="J107" i="16"/>
  <c r="J135" i="16" s="1"/>
  <c r="J88" i="14"/>
  <c r="J100" i="16"/>
  <c r="J128" i="16" s="1"/>
  <c r="J133" i="14"/>
  <c r="J147" i="16"/>
  <c r="J175" i="16" s="1"/>
  <c r="J146" i="14"/>
  <c r="J160" i="16"/>
  <c r="J188" i="16" s="1"/>
  <c r="J137" i="14"/>
  <c r="J151" i="16"/>
  <c r="J179" i="16" s="1"/>
  <c r="E134" i="14"/>
  <c r="E148" i="16"/>
  <c r="E176" i="16" s="1"/>
  <c r="E98" i="14"/>
  <c r="E110" i="16"/>
  <c r="E138" i="16" s="1"/>
  <c r="E91" i="14"/>
  <c r="E103" i="16"/>
  <c r="E131" i="16" s="1"/>
  <c r="E95" i="14"/>
  <c r="E107" i="16"/>
  <c r="E135" i="16" s="1"/>
  <c r="E144" i="14"/>
  <c r="E158" i="16"/>
  <c r="E186" i="16" s="1"/>
  <c r="E140" i="14"/>
  <c r="E154" i="16"/>
  <c r="E182" i="16" s="1"/>
  <c r="E136" i="14"/>
  <c r="E150" i="16"/>
  <c r="E178" i="16" s="1"/>
  <c r="E133" i="14"/>
  <c r="E147" i="16"/>
  <c r="E175" i="16" s="1"/>
  <c r="E86" i="14"/>
  <c r="E98" i="16"/>
  <c r="E126" i="16" s="1"/>
  <c r="E82" i="14"/>
  <c r="E94" i="16"/>
  <c r="E122" i="16" s="1"/>
  <c r="E79" i="14"/>
  <c r="E91" i="16"/>
  <c r="E119" i="16" s="1"/>
  <c r="D134" i="14"/>
  <c r="D148" i="16"/>
  <c r="D176" i="16" s="1"/>
  <c r="D79" i="14"/>
  <c r="D91" i="16"/>
  <c r="D119" i="16" s="1"/>
  <c r="D98" i="14"/>
  <c r="D110" i="16"/>
  <c r="D138" i="16" s="1"/>
  <c r="D96" i="14"/>
  <c r="D108" i="16"/>
  <c r="D136" i="16" s="1"/>
  <c r="D147" i="14"/>
  <c r="D161" i="16"/>
  <c r="D189" i="16" s="1"/>
  <c r="D151" i="14"/>
  <c r="D165" i="16"/>
  <c r="D193" i="16" s="1"/>
  <c r="D148" i="14"/>
  <c r="D162" i="16"/>
  <c r="D190" i="16" s="1"/>
  <c r="D145" i="14"/>
  <c r="D159" i="16"/>
  <c r="D187" i="16" s="1"/>
  <c r="D92" i="14"/>
  <c r="D104" i="16"/>
  <c r="D132" i="16" s="1"/>
  <c r="D95" i="14"/>
  <c r="D107" i="16"/>
  <c r="D135" i="16" s="1"/>
  <c r="G136" i="14"/>
  <c r="G92" i="16"/>
  <c r="G120" i="16" s="1"/>
  <c r="G102" i="16"/>
  <c r="G130" i="16" s="1"/>
  <c r="G83" i="14"/>
  <c r="F152" i="14"/>
  <c r="F166" i="16"/>
  <c r="F194" i="16" s="1"/>
  <c r="F153" i="14"/>
  <c r="F167" i="16"/>
  <c r="F195" i="16" s="1"/>
  <c r="F89" i="14"/>
  <c r="F101" i="16"/>
  <c r="F129" i="16" s="1"/>
  <c r="F99" i="14"/>
  <c r="F111" i="16"/>
  <c r="F139" i="16" s="1"/>
  <c r="F83" i="14"/>
  <c r="F95" i="16"/>
  <c r="F123" i="16" s="1"/>
  <c r="F134" i="14"/>
  <c r="F148" i="16"/>
  <c r="F176" i="16" s="1"/>
  <c r="F136" i="14"/>
  <c r="F150" i="16"/>
  <c r="F178" i="16" s="1"/>
  <c r="F144" i="14"/>
  <c r="F158" i="16"/>
  <c r="F186" i="16" s="1"/>
  <c r="F135" i="14"/>
  <c r="F149" i="16"/>
  <c r="F177" i="16" s="1"/>
  <c r="F88" i="14"/>
  <c r="F100" i="16"/>
  <c r="F128" i="16" s="1"/>
  <c r="F91" i="14"/>
  <c r="F103" i="16"/>
  <c r="F131" i="16" s="1"/>
  <c r="H94" i="14"/>
  <c r="H106" i="16"/>
  <c r="H134" i="16" s="1"/>
  <c r="H138" i="14"/>
  <c r="H152" i="16"/>
  <c r="H180" i="16" s="1"/>
  <c r="H87" i="14"/>
  <c r="H99" i="16"/>
  <c r="H127" i="16" s="1"/>
  <c r="H88" i="14"/>
  <c r="H100" i="16"/>
  <c r="H128" i="16" s="1"/>
  <c r="H89" i="14"/>
  <c r="H101" i="16"/>
  <c r="H129" i="16" s="1"/>
  <c r="H146" i="14"/>
  <c r="H160" i="16"/>
  <c r="H188" i="16" s="1"/>
  <c r="H97" i="14"/>
  <c r="H109" i="16"/>
  <c r="H137" i="16" s="1"/>
  <c r="H91" i="14"/>
  <c r="H103" i="16"/>
  <c r="H131" i="16" s="1"/>
  <c r="H134" i="14"/>
  <c r="H148" i="16"/>
  <c r="H176" i="16" s="1"/>
  <c r="H98" i="14"/>
  <c r="H110" i="16"/>
  <c r="H138" i="16" s="1"/>
  <c r="H149" i="14"/>
  <c r="H163" i="16"/>
  <c r="H191" i="16" s="1"/>
  <c r="J91" i="14"/>
  <c r="J103" i="16"/>
  <c r="J131" i="16" s="1"/>
  <c r="J87" i="14"/>
  <c r="J99" i="16"/>
  <c r="J127" i="16" s="1"/>
  <c r="J93" i="14"/>
  <c r="J105" i="16"/>
  <c r="J133" i="16" s="1"/>
  <c r="J84" i="14"/>
  <c r="J96" i="16"/>
  <c r="J124" i="16" s="1"/>
  <c r="J81" i="14"/>
  <c r="J93" i="16"/>
  <c r="J121" i="16" s="1"/>
  <c r="J151" i="14"/>
  <c r="J165" i="16"/>
  <c r="J193" i="16" s="1"/>
  <c r="J135" i="14"/>
  <c r="J149" i="16"/>
  <c r="J177" i="16" s="1"/>
  <c r="J142" i="14"/>
  <c r="J156" i="16"/>
  <c r="J184" i="16" s="1"/>
  <c r="J149" i="14"/>
  <c r="J163" i="16"/>
  <c r="J191" i="16" s="1"/>
  <c r="J152" i="14"/>
  <c r="J166" i="16"/>
  <c r="J194" i="16" s="1"/>
  <c r="J136" i="14"/>
  <c r="J150" i="16"/>
  <c r="J178" i="16" s="1"/>
  <c r="E146" i="14"/>
  <c r="E160" i="16"/>
  <c r="E188" i="16" s="1"/>
  <c r="E80" i="14"/>
  <c r="E92" i="16"/>
  <c r="E120" i="16" s="1"/>
  <c r="E138" i="14"/>
  <c r="E152" i="16"/>
  <c r="E180" i="16" s="1"/>
  <c r="E139" i="14"/>
  <c r="E153" i="16"/>
  <c r="E181" i="16" s="1"/>
  <c r="E96" i="14"/>
  <c r="E108" i="16"/>
  <c r="E136" i="16" s="1"/>
  <c r="E88" i="14"/>
  <c r="E100" i="16"/>
  <c r="E128" i="16" s="1"/>
  <c r="D135" i="14"/>
  <c r="D149" i="16"/>
  <c r="D177" i="16" s="1"/>
  <c r="D100" i="14"/>
  <c r="D112" i="16"/>
  <c r="D140" i="16" s="1"/>
  <c r="D144" i="14"/>
  <c r="D158" i="16"/>
  <c r="D186" i="16" s="1"/>
  <c r="D140" i="14"/>
  <c r="D154" i="16"/>
  <c r="D182" i="16" s="1"/>
  <c r="D88" i="14"/>
  <c r="D100" i="16"/>
  <c r="D128" i="16" s="1"/>
  <c r="D84" i="14"/>
  <c r="D96" i="16"/>
  <c r="D124" i="16" s="1"/>
  <c r="G143" i="14"/>
  <c r="G157" i="16"/>
  <c r="G185" i="16" s="1"/>
  <c r="G99" i="16"/>
  <c r="G127" i="16" s="1"/>
  <c r="F151" i="14"/>
  <c r="F165" i="16"/>
  <c r="F193" i="16" s="1"/>
  <c r="F87" i="14"/>
  <c r="F99" i="16"/>
  <c r="F127" i="16" s="1"/>
  <c r="F133" i="14"/>
  <c r="F147" i="16"/>
  <c r="F175" i="16" s="1"/>
  <c r="F146" i="14"/>
  <c r="F160" i="16"/>
  <c r="F188" i="16" s="1"/>
  <c r="F100" i="14"/>
  <c r="F112" i="16"/>
  <c r="F140" i="16" s="1"/>
  <c r="F96" i="14"/>
  <c r="F108" i="16"/>
  <c r="F136" i="16" s="1"/>
  <c r="H81" i="14"/>
  <c r="H93" i="16"/>
  <c r="H121" i="16" s="1"/>
  <c r="H86" i="14"/>
  <c r="H98" i="16"/>
  <c r="H126" i="16" s="1"/>
  <c r="H137" i="14"/>
  <c r="H151" i="16"/>
  <c r="H179" i="16" s="1"/>
  <c r="H95" i="14"/>
  <c r="H107" i="16"/>
  <c r="H135" i="16" s="1"/>
  <c r="H79" i="14"/>
  <c r="H91" i="16"/>
  <c r="H119" i="16" s="1"/>
  <c r="J98" i="14"/>
  <c r="J110" i="16"/>
  <c r="J138" i="16" s="1"/>
  <c r="J96" i="14"/>
  <c r="J108" i="16"/>
  <c r="J136" i="16" s="1"/>
  <c r="J92" i="14"/>
  <c r="J104" i="16"/>
  <c r="J132" i="16" s="1"/>
  <c r="J150" i="14"/>
  <c r="J164" i="16"/>
  <c r="J192" i="16" s="1"/>
  <c r="J141" i="14"/>
  <c r="J155" i="16"/>
  <c r="J183" i="16" s="1"/>
  <c r="E92" i="14"/>
  <c r="E104" i="16"/>
  <c r="E132" i="16" s="1"/>
  <c r="E99" i="14"/>
  <c r="E111" i="16"/>
  <c r="E139" i="16" s="1"/>
  <c r="E137" i="14"/>
  <c r="E151" i="16"/>
  <c r="E179" i="16" s="1"/>
  <c r="E154" i="14"/>
  <c r="E168" i="16"/>
  <c r="E196" i="16" s="1"/>
  <c r="E97" i="14"/>
  <c r="E109" i="16"/>
  <c r="E137" i="16" s="1"/>
  <c r="D99" i="14"/>
  <c r="D111" i="16"/>
  <c r="D139" i="16" s="1"/>
  <c r="D82" i="14"/>
  <c r="D94" i="16"/>
  <c r="D122" i="16" s="1"/>
  <c r="D142" i="14"/>
  <c r="D156" i="16"/>
  <c r="D184" i="16" s="1"/>
  <c r="D143" i="14"/>
  <c r="D157" i="16"/>
  <c r="D185" i="16" s="1"/>
  <c r="D94" i="14"/>
  <c r="D106" i="16"/>
  <c r="D134" i="16" s="1"/>
  <c r="G84" i="14"/>
  <c r="G96" i="16"/>
  <c r="G124" i="16" s="1"/>
  <c r="G145" i="14"/>
  <c r="G159" i="16"/>
  <c r="G187" i="16" s="1"/>
  <c r="G82" i="14"/>
  <c r="G94" i="16"/>
  <c r="G122" i="16" s="1"/>
  <c r="G91" i="14"/>
  <c r="G103" i="16"/>
  <c r="G131" i="16" s="1"/>
  <c r="F95" i="14"/>
  <c r="F107" i="16"/>
  <c r="F135" i="16" s="1"/>
  <c r="F80" i="14"/>
  <c r="F92" i="16"/>
  <c r="F120" i="16" s="1"/>
  <c r="F154" i="14"/>
  <c r="F168" i="16"/>
  <c r="F196" i="16" s="1"/>
  <c r="F150" i="14"/>
  <c r="F164" i="16"/>
  <c r="F192" i="16" s="1"/>
  <c r="F81" i="14"/>
  <c r="F93" i="16"/>
  <c r="F121" i="16" s="1"/>
  <c r="H148" i="14"/>
  <c r="H162" i="16"/>
  <c r="H190" i="16" s="1"/>
  <c r="H141" i="14"/>
  <c r="H155" i="16"/>
  <c r="H183" i="16" s="1"/>
  <c r="H90" i="14"/>
  <c r="H102" i="16"/>
  <c r="H130" i="16" s="1"/>
  <c r="H133" i="14"/>
  <c r="H147" i="16"/>
  <c r="H175" i="16" s="1"/>
  <c r="H92" i="14"/>
  <c r="H104" i="16"/>
  <c r="H132" i="16" s="1"/>
  <c r="H144" i="14"/>
  <c r="H158" i="16"/>
  <c r="H186" i="16" s="1"/>
  <c r="J94" i="14"/>
  <c r="J106" i="16"/>
  <c r="J134" i="16" s="1"/>
  <c r="J99" i="14"/>
  <c r="J111" i="16"/>
  <c r="J139" i="16" s="1"/>
  <c r="J89" i="14"/>
  <c r="J101" i="16"/>
  <c r="J129" i="16" s="1"/>
  <c r="J139" i="14"/>
  <c r="J153" i="16"/>
  <c r="J181" i="16" s="1"/>
  <c r="J153" i="14"/>
  <c r="J167" i="16"/>
  <c r="J195" i="16" s="1"/>
  <c r="J140" i="14"/>
  <c r="J154" i="16"/>
  <c r="J182" i="16" s="1"/>
  <c r="E143" i="14"/>
  <c r="E157" i="16"/>
  <c r="E185" i="16" s="1"/>
  <c r="E81" i="14"/>
  <c r="E93" i="16"/>
  <c r="E121" i="16" s="1"/>
  <c r="E90" i="14"/>
  <c r="E102" i="16"/>
  <c r="E130" i="16" s="1"/>
  <c r="E152" i="14"/>
  <c r="E166" i="16"/>
  <c r="E194" i="16" s="1"/>
  <c r="E153" i="14"/>
  <c r="E167" i="16"/>
  <c r="E195" i="16" s="1"/>
  <c r="E148" i="14"/>
  <c r="E162" i="16"/>
  <c r="E190" i="16" s="1"/>
  <c r="E147" i="14"/>
  <c r="E161" i="16"/>
  <c r="E189" i="16" s="1"/>
  <c r="E141" i="14"/>
  <c r="E155" i="16"/>
  <c r="E183" i="16" s="1"/>
  <c r="E94" i="14"/>
  <c r="E106" i="16"/>
  <c r="E134" i="16" s="1"/>
  <c r="E93" i="14"/>
  <c r="E105" i="16"/>
  <c r="E133" i="16" s="1"/>
  <c r="E87" i="14"/>
  <c r="E99" i="16"/>
  <c r="E127" i="16" s="1"/>
  <c r="D153" i="14"/>
  <c r="D167" i="16"/>
  <c r="D195" i="16" s="1"/>
  <c r="D136" i="14"/>
  <c r="D150" i="16"/>
  <c r="D178" i="16" s="1"/>
  <c r="D90" i="14"/>
  <c r="D102" i="16"/>
  <c r="D130" i="16" s="1"/>
  <c r="D81" i="14"/>
  <c r="D93" i="16"/>
  <c r="D121" i="16" s="1"/>
  <c r="D141" i="14"/>
  <c r="D155" i="16"/>
  <c r="D183" i="16" s="1"/>
  <c r="D152" i="14"/>
  <c r="D166" i="16"/>
  <c r="D194" i="16" s="1"/>
  <c r="D146" i="14"/>
  <c r="D160" i="16"/>
  <c r="D188" i="16" s="1"/>
  <c r="D149" i="14"/>
  <c r="D163" i="16"/>
  <c r="D191" i="16" s="1"/>
  <c r="D133" i="14"/>
  <c r="D147" i="16"/>
  <c r="D86" i="14"/>
  <c r="D98" i="16"/>
  <c r="D126" i="16" s="1"/>
  <c r="D83" i="14"/>
  <c r="D95" i="16"/>
  <c r="D123" i="16" s="1"/>
  <c r="G144" i="14"/>
  <c r="G153" i="14"/>
  <c r="G133" i="14"/>
  <c r="F149" i="14"/>
  <c r="F163" i="16"/>
  <c r="F191" i="16" s="1"/>
  <c r="F139" i="14"/>
  <c r="F153" i="16"/>
  <c r="F181" i="16" s="1"/>
  <c r="F97" i="14"/>
  <c r="F109" i="16"/>
  <c r="F137" i="16" s="1"/>
  <c r="F93" i="14"/>
  <c r="F105" i="16"/>
  <c r="F133" i="16" s="1"/>
  <c r="F143" i="14"/>
  <c r="F157" i="16"/>
  <c r="F185" i="16" s="1"/>
  <c r="F137" i="14"/>
  <c r="F151" i="16"/>
  <c r="F179" i="16" s="1"/>
  <c r="F142" i="14"/>
  <c r="F156" i="16"/>
  <c r="F184" i="16" s="1"/>
  <c r="F145" i="14"/>
  <c r="F159" i="16"/>
  <c r="F187" i="16" s="1"/>
  <c r="F94" i="14"/>
  <c r="F106" i="16"/>
  <c r="F134" i="16" s="1"/>
  <c r="F92" i="14"/>
  <c r="F104" i="16"/>
  <c r="F132" i="16" s="1"/>
  <c r="F86" i="14"/>
  <c r="F98" i="16"/>
  <c r="F126" i="16" s="1"/>
  <c r="H83" i="14"/>
  <c r="H95" i="16"/>
  <c r="H123" i="16" s="1"/>
  <c r="H140" i="14"/>
  <c r="H154" i="16"/>
  <c r="H182" i="16" s="1"/>
  <c r="H139" i="14"/>
  <c r="H153" i="16"/>
  <c r="H181" i="16" s="1"/>
  <c r="H136" i="14"/>
  <c r="H150" i="16"/>
  <c r="H178" i="16" s="1"/>
  <c r="H84" i="14"/>
  <c r="H96" i="16"/>
  <c r="H124" i="16" s="1"/>
  <c r="H80" i="14"/>
  <c r="H92" i="16"/>
  <c r="H120" i="16" s="1"/>
  <c r="H153" i="14"/>
  <c r="H167" i="16"/>
  <c r="H195" i="16" s="1"/>
  <c r="H85" i="14"/>
  <c r="H97" i="16"/>
  <c r="H125" i="16" s="1"/>
  <c r="H99" i="14"/>
  <c r="H111" i="16"/>
  <c r="H139" i="16" s="1"/>
  <c r="H142" i="14"/>
  <c r="H156" i="16"/>
  <c r="H184" i="16" s="1"/>
  <c r="H100" i="14"/>
  <c r="H112" i="16"/>
  <c r="H140" i="16" s="1"/>
  <c r="J90" i="14"/>
  <c r="J102" i="16"/>
  <c r="J130" i="16" s="1"/>
  <c r="J82" i="14"/>
  <c r="J94" i="16"/>
  <c r="J122" i="16" s="1"/>
  <c r="J86" i="14"/>
  <c r="J98" i="16"/>
  <c r="J126" i="16" s="1"/>
  <c r="J85" i="14"/>
  <c r="J97" i="16"/>
  <c r="J125" i="16" s="1"/>
  <c r="J80" i="14"/>
  <c r="J92" i="16"/>
  <c r="J120" i="16" s="1"/>
  <c r="J100" i="14"/>
  <c r="J112" i="16"/>
  <c r="J140" i="16" s="1"/>
  <c r="J147" i="14"/>
  <c r="J161" i="16"/>
  <c r="J189" i="16" s="1"/>
  <c r="J154" i="14"/>
  <c r="J168" i="16"/>
  <c r="J196" i="16" s="1"/>
  <c r="J138" i="14"/>
  <c r="J152" i="16"/>
  <c r="J180" i="16" s="1"/>
  <c r="J145" i="14"/>
  <c r="J159" i="16"/>
  <c r="J187" i="16" s="1"/>
  <c r="J148" i="14"/>
  <c r="J162" i="16"/>
  <c r="J190" i="16" s="1"/>
  <c r="D85" i="14"/>
  <c r="D97" i="16"/>
  <c r="D125" i="16" s="1"/>
  <c r="J128" i="14"/>
  <c r="J155" i="14" s="1"/>
  <c r="J72" i="14"/>
  <c r="J101" i="14" s="1"/>
  <c r="I70" i="14"/>
  <c r="I126" i="14"/>
  <c r="I106" i="14"/>
  <c r="I108" i="14"/>
  <c r="I123" i="14"/>
  <c r="I51" i="14"/>
  <c r="I68" i="14"/>
  <c r="I107" i="14"/>
  <c r="I127" i="14"/>
  <c r="I109" i="14"/>
  <c r="I114" i="14"/>
  <c r="I122" i="14"/>
  <c r="I52" i="14"/>
  <c r="I56" i="14"/>
  <c r="I120" i="14"/>
  <c r="I55" i="14"/>
  <c r="I54" i="14"/>
  <c r="I115" i="14"/>
  <c r="I53" i="14"/>
  <c r="I125" i="14"/>
  <c r="I63" i="14"/>
  <c r="I113" i="14"/>
  <c r="I60" i="14"/>
  <c r="I67" i="14"/>
  <c r="I58" i="14"/>
  <c r="I57" i="14"/>
  <c r="I124" i="14"/>
  <c r="I71" i="14"/>
  <c r="I118" i="14"/>
  <c r="I110" i="14"/>
  <c r="I59" i="14"/>
  <c r="I111" i="14"/>
  <c r="I121" i="14"/>
  <c r="I65" i="14"/>
  <c r="I66" i="14"/>
  <c r="I116" i="14"/>
  <c r="I62" i="14"/>
  <c r="I69" i="14"/>
  <c r="I61" i="14"/>
  <c r="I119" i="14"/>
  <c r="I117" i="14"/>
  <c r="I64" i="14"/>
  <c r="I112" i="14"/>
  <c r="C116" i="14"/>
  <c r="C143" i="14" s="1"/>
  <c r="C70" i="14"/>
  <c r="C99" i="14" s="1"/>
  <c r="C59" i="14"/>
  <c r="C88" i="14" s="1"/>
  <c r="C52" i="14"/>
  <c r="C81" i="14" s="1"/>
  <c r="C114" i="14"/>
  <c r="C141" i="14" s="1"/>
  <c r="C62" i="14"/>
  <c r="C91" i="14" s="1"/>
  <c r="C117" i="14"/>
  <c r="C144" i="14" s="1"/>
  <c r="C65" i="14"/>
  <c r="C94" i="14" s="1"/>
  <c r="C123" i="14"/>
  <c r="C150" i="14" s="1"/>
  <c r="C113" i="14"/>
  <c r="C140" i="14" s="1"/>
  <c r="C57" i="14"/>
  <c r="C86" i="14" s="1"/>
  <c r="C111" i="14"/>
  <c r="C138" i="14" s="1"/>
  <c r="C106" i="14"/>
  <c r="C133" i="14" s="1"/>
  <c r="C55" i="14"/>
  <c r="C84" i="14" s="1"/>
  <c r="C122" i="14"/>
  <c r="C149" i="14" s="1"/>
  <c r="C53" i="14"/>
  <c r="C82" i="14" s="1"/>
  <c r="C112" i="14"/>
  <c r="C139" i="14" s="1"/>
  <c r="C119" i="14"/>
  <c r="C146" i="14" s="1"/>
  <c r="C121" i="14"/>
  <c r="C148" i="14" s="1"/>
  <c r="C58" i="14"/>
  <c r="C87" i="14" s="1"/>
  <c r="C108" i="14"/>
  <c r="C135" i="14" s="1"/>
  <c r="C127" i="14"/>
  <c r="C154" i="14" s="1"/>
  <c r="C126" i="14"/>
  <c r="C153" i="14" s="1"/>
  <c r="C125" i="14"/>
  <c r="C152" i="14" s="1"/>
  <c r="C71" i="14"/>
  <c r="C100" i="14" s="1"/>
  <c r="C124" i="14"/>
  <c r="C151" i="14" s="1"/>
  <c r="C64" i="14"/>
  <c r="C93" i="14" s="1"/>
  <c r="C110" i="14"/>
  <c r="C137" i="14" s="1"/>
  <c r="C115" i="14"/>
  <c r="C142" i="14" s="1"/>
  <c r="C69" i="14"/>
  <c r="C98" i="14" s="1"/>
  <c r="C67" i="14"/>
  <c r="C96" i="14" s="1"/>
  <c r="C60" i="14"/>
  <c r="C89" i="14" s="1"/>
  <c r="C120" i="14"/>
  <c r="C147" i="14" s="1"/>
  <c r="C107" i="14"/>
  <c r="C134" i="14" s="1"/>
  <c r="C68" i="14"/>
  <c r="C97" i="14" s="1"/>
  <c r="C51" i="14"/>
  <c r="C80" i="14" s="1"/>
  <c r="C54" i="14"/>
  <c r="C83" i="14" s="1"/>
  <c r="C56" i="14"/>
  <c r="C85" i="14" s="1"/>
  <c r="C61" i="14"/>
  <c r="C90" i="14" s="1"/>
  <c r="C118" i="14"/>
  <c r="C145" i="14" s="1"/>
  <c r="C66" i="14"/>
  <c r="C95" i="14" s="1"/>
  <c r="C109" i="14"/>
  <c r="C136" i="14" s="1"/>
  <c r="C63" i="14"/>
  <c r="C92" i="14" s="1"/>
  <c r="K65" i="14"/>
  <c r="K70" i="14"/>
  <c r="K55" i="14"/>
  <c r="K124" i="14"/>
  <c r="K165" i="16" s="1"/>
  <c r="K193" i="16" s="1"/>
  <c r="K108" i="14"/>
  <c r="K149" i="16" s="1"/>
  <c r="K177" i="16" s="1"/>
  <c r="K118" i="14"/>
  <c r="K159" i="16" s="1"/>
  <c r="K187" i="16" s="1"/>
  <c r="K110" i="14"/>
  <c r="K151" i="16" s="1"/>
  <c r="K179" i="16" s="1"/>
  <c r="K113" i="14"/>
  <c r="K154" i="16" s="1"/>
  <c r="K182" i="16" s="1"/>
  <c r="K111" i="14"/>
  <c r="K152" i="16" s="1"/>
  <c r="K180" i="16" s="1"/>
  <c r="K50" i="14"/>
  <c r="K91" i="16" s="1"/>
  <c r="K119" i="16" s="1"/>
  <c r="K59" i="14"/>
  <c r="K58" i="14"/>
  <c r="K71" i="14"/>
  <c r="K51" i="14"/>
  <c r="K92" i="16" s="1"/>
  <c r="K120" i="16" s="1"/>
  <c r="K122" i="14"/>
  <c r="K163" i="16" s="1"/>
  <c r="K191" i="16" s="1"/>
  <c r="K107" i="14"/>
  <c r="K148" i="16" s="1"/>
  <c r="K176" i="16" s="1"/>
  <c r="K127" i="14"/>
  <c r="K168" i="16" s="1"/>
  <c r="K196" i="16" s="1"/>
  <c r="K126" i="14"/>
  <c r="K167" i="16" s="1"/>
  <c r="K195" i="16" s="1"/>
  <c r="K114" i="14"/>
  <c r="K155" i="16" s="1"/>
  <c r="K183" i="16" s="1"/>
  <c r="K66" i="14"/>
  <c r="K56" i="14"/>
  <c r="K61" i="14"/>
  <c r="K52" i="14"/>
  <c r="K93" i="16" s="1"/>
  <c r="K121" i="16" s="1"/>
  <c r="K69" i="14"/>
  <c r="K67" i="14"/>
  <c r="K115" i="14"/>
  <c r="K156" i="16" s="1"/>
  <c r="K184" i="16" s="1"/>
  <c r="K106" i="14"/>
  <c r="K147" i="16" s="1"/>
  <c r="K175" i="16" s="1"/>
  <c r="K109" i="14"/>
  <c r="K150" i="16" s="1"/>
  <c r="K178" i="16" s="1"/>
  <c r="K119" i="14"/>
  <c r="K160" i="16" s="1"/>
  <c r="K188" i="16" s="1"/>
  <c r="K123" i="14"/>
  <c r="K164" i="16" s="1"/>
  <c r="K192" i="16" s="1"/>
  <c r="K62" i="14"/>
  <c r="K57" i="14"/>
  <c r="K63" i="14"/>
  <c r="K68" i="14"/>
  <c r="K64" i="14"/>
  <c r="K121" i="14"/>
  <c r="K162" i="16" s="1"/>
  <c r="K190" i="16" s="1"/>
  <c r="K112" i="14"/>
  <c r="K153" i="16" s="1"/>
  <c r="K181" i="16" s="1"/>
  <c r="K117" i="14"/>
  <c r="K158" i="16" s="1"/>
  <c r="K186" i="16" s="1"/>
  <c r="K125" i="14"/>
  <c r="K166" i="16" s="1"/>
  <c r="K194" i="16" s="1"/>
  <c r="K120" i="14"/>
  <c r="K161" i="16" s="1"/>
  <c r="K189" i="16" s="1"/>
  <c r="K116" i="14"/>
  <c r="K157" i="16" s="1"/>
  <c r="K185" i="16" s="1"/>
  <c r="K53" i="14"/>
  <c r="K60" i="14"/>
  <c r="K54" i="14"/>
  <c r="G149" i="16" l="1"/>
  <c r="G177" i="16" s="1"/>
  <c r="G138" i="14"/>
  <c r="G105" i="16"/>
  <c r="G133" i="16" s="1"/>
  <c r="G155" i="16"/>
  <c r="G183" i="16" s="1"/>
  <c r="G156" i="16"/>
  <c r="G184" i="16" s="1"/>
  <c r="G148" i="16"/>
  <c r="G176" i="16" s="1"/>
  <c r="G97" i="14"/>
  <c r="G96" i="14"/>
  <c r="G163" i="16"/>
  <c r="G191" i="16" s="1"/>
  <c r="G101" i="16"/>
  <c r="G129" i="16" s="1"/>
  <c r="G165" i="16"/>
  <c r="G193" i="16" s="1"/>
  <c r="G106" i="16"/>
  <c r="G134" i="16" s="1"/>
  <c r="G161" i="16"/>
  <c r="G189" i="16" s="1"/>
  <c r="G162" i="16"/>
  <c r="G190" i="16" s="1"/>
  <c r="G104" i="16"/>
  <c r="G132" i="16" s="1"/>
  <c r="G93" i="16"/>
  <c r="G121" i="16" s="1"/>
  <c r="G98" i="16"/>
  <c r="G126" i="16" s="1"/>
  <c r="G160" i="16"/>
  <c r="G188" i="16" s="1"/>
  <c r="G151" i="16"/>
  <c r="G179" i="16" s="1"/>
  <c r="G168" i="16"/>
  <c r="G196" i="16" s="1"/>
  <c r="G110" i="16"/>
  <c r="G138" i="16" s="1"/>
  <c r="G166" i="16"/>
  <c r="G194" i="16" s="1"/>
  <c r="G107" i="16"/>
  <c r="G135" i="16" s="1"/>
  <c r="G100" i="16"/>
  <c r="G128" i="16" s="1"/>
  <c r="G97" i="16"/>
  <c r="G125" i="16" s="1"/>
  <c r="G112" i="16"/>
  <c r="G140" i="16" s="1"/>
  <c r="I79" i="14"/>
  <c r="I87" i="14"/>
  <c r="I83" i="14"/>
  <c r="K92" i="14"/>
  <c r="K104" i="16"/>
  <c r="K132" i="16" s="1"/>
  <c r="K96" i="14"/>
  <c r="K108" i="16"/>
  <c r="K136" i="16" s="1"/>
  <c r="K85" i="14"/>
  <c r="K97" i="16"/>
  <c r="K125" i="16" s="1"/>
  <c r="K100" i="14"/>
  <c r="K112" i="16"/>
  <c r="K140" i="16" s="1"/>
  <c r="K94" i="14"/>
  <c r="K106" i="16"/>
  <c r="K134" i="16" s="1"/>
  <c r="I92" i="14"/>
  <c r="I81" i="14"/>
  <c r="I99" i="14"/>
  <c r="K83" i="14"/>
  <c r="K95" i="16"/>
  <c r="K123" i="16" s="1"/>
  <c r="K86" i="14"/>
  <c r="K98" i="16"/>
  <c r="K126" i="16" s="1"/>
  <c r="K98" i="14"/>
  <c r="K110" i="16"/>
  <c r="K138" i="16" s="1"/>
  <c r="K95" i="14"/>
  <c r="K107" i="16"/>
  <c r="K135" i="16" s="1"/>
  <c r="K87" i="14"/>
  <c r="K99" i="16"/>
  <c r="K127" i="16" s="1"/>
  <c r="I90" i="14"/>
  <c r="I95" i="14"/>
  <c r="I100" i="14"/>
  <c r="I96" i="14"/>
  <c r="I84" i="14"/>
  <c r="K89" i="14"/>
  <c r="K101" i="16"/>
  <c r="K129" i="16" s="1"/>
  <c r="K93" i="14"/>
  <c r="K105" i="16"/>
  <c r="K133" i="16" s="1"/>
  <c r="K91" i="14"/>
  <c r="K103" i="16"/>
  <c r="K131" i="16" s="1"/>
  <c r="K88" i="14"/>
  <c r="K100" i="16"/>
  <c r="K128" i="16" s="1"/>
  <c r="K84" i="14"/>
  <c r="K96" i="16"/>
  <c r="K124" i="16" s="1"/>
  <c r="I93" i="14"/>
  <c r="I98" i="14"/>
  <c r="I94" i="14"/>
  <c r="I88" i="14"/>
  <c r="I89" i="14"/>
  <c r="I82" i="14"/>
  <c r="I97" i="14"/>
  <c r="D169" i="16"/>
  <c r="D197" i="16" s="1"/>
  <c r="D175" i="16"/>
  <c r="K82" i="14"/>
  <c r="K94" i="16"/>
  <c r="K122" i="16" s="1"/>
  <c r="K97" i="14"/>
  <c r="K109" i="16"/>
  <c r="K137" i="16" s="1"/>
  <c r="K90" i="14"/>
  <c r="K102" i="16"/>
  <c r="K130" i="16" s="1"/>
  <c r="K99" i="14"/>
  <c r="K111" i="16"/>
  <c r="K139" i="16" s="1"/>
  <c r="I91" i="14"/>
  <c r="I86" i="14"/>
  <c r="I85" i="14"/>
  <c r="I80" i="14"/>
  <c r="K152" i="14"/>
  <c r="K81" i="14"/>
  <c r="K149" i="14"/>
  <c r="I151" i="14"/>
  <c r="I141" i="14"/>
  <c r="K144" i="14"/>
  <c r="K150" i="14"/>
  <c r="K142" i="14"/>
  <c r="K153" i="14"/>
  <c r="K80" i="14"/>
  <c r="K79" i="14"/>
  <c r="K145" i="14"/>
  <c r="I144" i="14"/>
  <c r="I148" i="14"/>
  <c r="I137" i="14"/>
  <c r="I140" i="14"/>
  <c r="I142" i="14"/>
  <c r="I136" i="14"/>
  <c r="I153" i="14"/>
  <c r="K133" i="14"/>
  <c r="K141" i="14"/>
  <c r="K137" i="14"/>
  <c r="I133" i="14"/>
  <c r="K143" i="14"/>
  <c r="K139" i="14"/>
  <c r="K146" i="14"/>
  <c r="K154" i="14"/>
  <c r="K138" i="14"/>
  <c r="K135" i="14"/>
  <c r="I146" i="14"/>
  <c r="I143" i="14"/>
  <c r="I145" i="14"/>
  <c r="I154" i="14"/>
  <c r="I150" i="14"/>
  <c r="I147" i="14"/>
  <c r="K147" i="14"/>
  <c r="K148" i="14"/>
  <c r="K136" i="14"/>
  <c r="K134" i="14"/>
  <c r="K140" i="14"/>
  <c r="K151" i="14"/>
  <c r="I139" i="14"/>
  <c r="I138" i="14"/>
  <c r="I152" i="14"/>
  <c r="I149" i="14"/>
  <c r="I134" i="14"/>
  <c r="I135" i="14"/>
  <c r="M71" i="14"/>
  <c r="K128" i="14"/>
  <c r="C128" i="14"/>
  <c r="C155" i="14" s="1"/>
  <c r="C72" i="14"/>
  <c r="C101" i="14" s="1"/>
  <c r="K72" i="14"/>
  <c r="K101" i="14" s="1"/>
  <c r="I72" i="14"/>
  <c r="I101" i="14" s="1"/>
  <c r="I128" i="14"/>
  <c r="G128" i="14"/>
  <c r="G155" i="14" s="1"/>
  <c r="H128" i="14"/>
  <c r="H155" i="14" s="1"/>
  <c r="H72" i="14"/>
  <c r="H101" i="14" s="1"/>
  <c r="D72" i="14"/>
  <c r="D101" i="14" s="1"/>
  <c r="G72" i="14"/>
  <c r="G101" i="14" s="1"/>
  <c r="F72" i="14"/>
  <c r="F101" i="14" s="1"/>
  <c r="E72" i="14"/>
  <c r="E101" i="14" s="1"/>
  <c r="M100" i="14" l="1"/>
  <c r="F58" i="16"/>
  <c r="G58" i="16" s="1"/>
  <c r="H58" i="16" s="1"/>
  <c r="K155" i="14"/>
  <c r="I155" i="14"/>
  <c r="K113" i="16"/>
  <c r="K141" i="16" s="1"/>
  <c r="K169" i="16"/>
  <c r="K197" i="16" s="1"/>
  <c r="H169" i="16" l="1"/>
  <c r="H197" i="16" s="1"/>
  <c r="E113" i="16"/>
  <c r="E141" i="16" s="1"/>
  <c r="G113" i="16"/>
  <c r="G141" i="16" s="1"/>
  <c r="G169" i="16"/>
  <c r="G197" i="16" s="1"/>
  <c r="H113" i="16"/>
  <c r="H141" i="16" s="1"/>
  <c r="D113" i="16"/>
  <c r="D141" i="16" s="1"/>
  <c r="F113" i="16"/>
  <c r="F141" i="16" s="1"/>
  <c r="E128" i="14" l="1"/>
  <c r="E155" i="14" s="1"/>
  <c r="D128" i="14"/>
  <c r="D155" i="14" s="1"/>
  <c r="F128" i="14"/>
  <c r="F155" i="14" s="1"/>
  <c r="E169" i="16" l="1"/>
  <c r="E197" i="16" s="1"/>
  <c r="F169" i="16"/>
  <c r="F197" i="16" s="1"/>
  <c r="L124" i="14" l="1"/>
  <c r="L127" i="14"/>
  <c r="L168" i="16" s="1"/>
  <c r="L196" i="16" s="1"/>
  <c r="L116" i="14"/>
  <c r="L157" i="16" s="1"/>
  <c r="L185" i="16" s="1"/>
  <c r="L106" i="14"/>
  <c r="L147" i="16" s="1"/>
  <c r="L175" i="16" s="1"/>
  <c r="L122" i="14"/>
  <c r="L115" i="14"/>
  <c r="L117" i="14"/>
  <c r="L158" i="16" s="1"/>
  <c r="L186" i="16" s="1"/>
  <c r="L110" i="14"/>
  <c r="L151" i="16" s="1"/>
  <c r="L179" i="16" s="1"/>
  <c r="L121" i="14"/>
  <c r="L113" i="14"/>
  <c r="L125" i="14"/>
  <c r="L166" i="16" s="1"/>
  <c r="L194" i="16" s="1"/>
  <c r="L120" i="14"/>
  <c r="L119" i="14"/>
  <c r="L160" i="16" s="1"/>
  <c r="L188" i="16" s="1"/>
  <c r="L111" i="14"/>
  <c r="L152" i="16" s="1"/>
  <c r="L180" i="16" s="1"/>
  <c r="L123" i="14"/>
  <c r="L126" i="14"/>
  <c r="L167" i="16" s="1"/>
  <c r="L195" i="16" s="1"/>
  <c r="L118" i="14"/>
  <c r="L159" i="16" s="1"/>
  <c r="L187" i="16" s="1"/>
  <c r="L107" i="14"/>
  <c r="L67" i="14"/>
  <c r="L59" i="14"/>
  <c r="L112" i="14"/>
  <c r="L69" i="14"/>
  <c r="L58" i="14"/>
  <c r="L51" i="14"/>
  <c r="L66" i="14"/>
  <c r="L65" i="14"/>
  <c r="L62" i="14"/>
  <c r="L108" i="14"/>
  <c r="L149" i="16" s="1"/>
  <c r="L177" i="16" s="1"/>
  <c r="L63" i="14"/>
  <c r="L114" i="14"/>
  <c r="L155" i="16" s="1"/>
  <c r="L183" i="16" s="1"/>
  <c r="L52" i="14"/>
  <c r="L55" i="14"/>
  <c r="L61" i="14"/>
  <c r="L109" i="14"/>
  <c r="L54" i="14"/>
  <c r="L60" i="14"/>
  <c r="L56" i="14"/>
  <c r="L64" i="14"/>
  <c r="L57" i="14"/>
  <c r="L50" i="14"/>
  <c r="L68" i="14"/>
  <c r="L70" i="14"/>
  <c r="L72" i="14"/>
  <c r="L101" i="14" s="1"/>
  <c r="L53" i="14"/>
  <c r="L83" i="14" l="1"/>
  <c r="L95" i="16"/>
  <c r="L123" i="16" s="1"/>
  <c r="L81" i="14"/>
  <c r="L93" i="16"/>
  <c r="L121" i="16" s="1"/>
  <c r="L87" i="14"/>
  <c r="L99" i="16"/>
  <c r="L127" i="16" s="1"/>
  <c r="L96" i="14"/>
  <c r="L108" i="16"/>
  <c r="L136" i="16" s="1"/>
  <c r="L150" i="14"/>
  <c r="L164" i="16"/>
  <c r="L192" i="16" s="1"/>
  <c r="L99" i="14"/>
  <c r="L111" i="16"/>
  <c r="L139" i="16" s="1"/>
  <c r="L136" i="14"/>
  <c r="L150" i="16"/>
  <c r="L178" i="16" s="1"/>
  <c r="L97" i="14"/>
  <c r="L109" i="16"/>
  <c r="L137" i="16" s="1"/>
  <c r="L85" i="14"/>
  <c r="L97" i="16"/>
  <c r="L125" i="16" s="1"/>
  <c r="L90" i="14"/>
  <c r="L102" i="16"/>
  <c r="L130" i="16" s="1"/>
  <c r="L92" i="14"/>
  <c r="L104" i="16"/>
  <c r="L132" i="16" s="1"/>
  <c r="L95" i="14"/>
  <c r="L107" i="16"/>
  <c r="L135" i="16" s="1"/>
  <c r="L139" i="14"/>
  <c r="L153" i="16"/>
  <c r="L181" i="16" s="1"/>
  <c r="L148" i="14"/>
  <c r="L162" i="16"/>
  <c r="L190" i="16" s="1"/>
  <c r="L149" i="14"/>
  <c r="L163" i="16"/>
  <c r="L191" i="16" s="1"/>
  <c r="L151" i="14"/>
  <c r="L165" i="16"/>
  <c r="L193" i="16" s="1"/>
  <c r="L86" i="14"/>
  <c r="L98" i="16"/>
  <c r="L126" i="16" s="1"/>
  <c r="L91" i="14"/>
  <c r="L103" i="16"/>
  <c r="L131" i="16" s="1"/>
  <c r="L93" i="14"/>
  <c r="L105" i="16"/>
  <c r="L133" i="16" s="1"/>
  <c r="L94" i="14"/>
  <c r="L106" i="16"/>
  <c r="L134" i="16" s="1"/>
  <c r="L98" i="14"/>
  <c r="L110" i="16"/>
  <c r="L138" i="16" s="1"/>
  <c r="L134" i="14"/>
  <c r="N134" i="14" s="1"/>
  <c r="L148" i="16"/>
  <c r="L176" i="16" s="1"/>
  <c r="L140" i="14"/>
  <c r="L154" i="16"/>
  <c r="L182" i="16" s="1"/>
  <c r="L142" i="14"/>
  <c r="L156" i="16"/>
  <c r="L184" i="16" s="1"/>
  <c r="L82" i="14"/>
  <c r="L94" i="16"/>
  <c r="L122" i="16" s="1"/>
  <c r="L79" i="14"/>
  <c r="N79" i="14" s="1"/>
  <c r="L91" i="16"/>
  <c r="L119" i="16" s="1"/>
  <c r="L89" i="14"/>
  <c r="L101" i="16"/>
  <c r="L129" i="16" s="1"/>
  <c r="L84" i="14"/>
  <c r="L96" i="16"/>
  <c r="L124" i="16" s="1"/>
  <c r="L80" i="14"/>
  <c r="L92" i="16"/>
  <c r="L120" i="16" s="1"/>
  <c r="L88" i="14"/>
  <c r="L100" i="16"/>
  <c r="L128" i="16" s="1"/>
  <c r="L147" i="14"/>
  <c r="L161" i="16"/>
  <c r="L189" i="16" s="1"/>
  <c r="L135" i="14"/>
  <c r="L153" i="14"/>
  <c r="L137" i="14"/>
  <c r="L133" i="14"/>
  <c r="N133" i="14" s="1"/>
  <c r="M106" i="14"/>
  <c r="L152" i="14"/>
  <c r="L144" i="14"/>
  <c r="L143" i="14"/>
  <c r="L141" i="14"/>
  <c r="L138" i="14"/>
  <c r="L128" i="14"/>
  <c r="L155" i="14" s="1"/>
  <c r="L154" i="14"/>
  <c r="L145" i="14"/>
  <c r="L146" i="14"/>
  <c r="M51" i="14"/>
  <c r="M63" i="14"/>
  <c r="M66" i="14"/>
  <c r="M72" i="14"/>
  <c r="M101" i="14" s="1"/>
  <c r="M60" i="14"/>
  <c r="M53" i="14"/>
  <c r="M50" i="14"/>
  <c r="F37" i="16" s="1"/>
  <c r="M55" i="14"/>
  <c r="M59" i="14"/>
  <c r="M57" i="14"/>
  <c r="M54" i="14"/>
  <c r="M52" i="14"/>
  <c r="M62" i="14"/>
  <c r="M58" i="14"/>
  <c r="M67" i="14"/>
  <c r="M70" i="14"/>
  <c r="M64" i="14"/>
  <c r="M65" i="14"/>
  <c r="M69" i="14"/>
  <c r="M68" i="14"/>
  <c r="M56" i="14"/>
  <c r="M61" i="14"/>
  <c r="M99" i="14" l="1"/>
  <c r="F57" i="16"/>
  <c r="G57" i="16" s="1"/>
  <c r="H57" i="16" s="1"/>
  <c r="M84" i="14"/>
  <c r="F42" i="16"/>
  <c r="G42" i="16" s="1"/>
  <c r="H42" i="16" s="1"/>
  <c r="M97" i="14"/>
  <c r="F55" i="16"/>
  <c r="G55" i="16" s="1"/>
  <c r="H55" i="16" s="1"/>
  <c r="M81" i="14"/>
  <c r="F39" i="16"/>
  <c r="G39" i="16" s="1"/>
  <c r="H39" i="16" s="1"/>
  <c r="M98" i="14"/>
  <c r="F56" i="16"/>
  <c r="G56" i="16" s="1"/>
  <c r="H56" i="16" s="1"/>
  <c r="M96" i="14"/>
  <c r="F54" i="16"/>
  <c r="G54" i="16" s="1"/>
  <c r="H54" i="16" s="1"/>
  <c r="M83" i="14"/>
  <c r="F41" i="16"/>
  <c r="G41" i="16" s="1"/>
  <c r="H41" i="16" s="1"/>
  <c r="G37" i="16"/>
  <c r="H37" i="16" s="1"/>
  <c r="M95" i="14"/>
  <c r="F53" i="16"/>
  <c r="G53" i="16" s="1"/>
  <c r="H53" i="16" s="1"/>
  <c r="M133" i="14"/>
  <c r="I37" i="16"/>
  <c r="M90" i="14"/>
  <c r="F48" i="16"/>
  <c r="G48" i="16" s="1"/>
  <c r="H48" i="16" s="1"/>
  <c r="M87" i="14"/>
  <c r="F45" i="16"/>
  <c r="G45" i="16" s="1"/>
  <c r="H45" i="16" s="1"/>
  <c r="M82" i="14"/>
  <c r="F40" i="16"/>
  <c r="G40" i="16" s="1"/>
  <c r="H40" i="16" s="1"/>
  <c r="M92" i="14"/>
  <c r="F50" i="16"/>
  <c r="G50" i="16" s="1"/>
  <c r="H50" i="16" s="1"/>
  <c r="M94" i="14"/>
  <c r="F52" i="16"/>
  <c r="G52" i="16" s="1"/>
  <c r="H52" i="16" s="1"/>
  <c r="M86" i="14"/>
  <c r="F44" i="16"/>
  <c r="G44" i="16" s="1"/>
  <c r="H44" i="16" s="1"/>
  <c r="M85" i="14"/>
  <c r="F43" i="16"/>
  <c r="G43" i="16" s="1"/>
  <c r="H43" i="16" s="1"/>
  <c r="M93" i="14"/>
  <c r="F51" i="16"/>
  <c r="G51" i="16" s="1"/>
  <c r="H51" i="16" s="1"/>
  <c r="M91" i="14"/>
  <c r="F49" i="16"/>
  <c r="G49" i="16" s="1"/>
  <c r="H49" i="16" s="1"/>
  <c r="M88" i="14"/>
  <c r="F46" i="16"/>
  <c r="G46" i="16" s="1"/>
  <c r="H46" i="16" s="1"/>
  <c r="M89" i="14"/>
  <c r="F47" i="16"/>
  <c r="G47" i="16" s="1"/>
  <c r="H47" i="16" s="1"/>
  <c r="M80" i="14"/>
  <c r="F38" i="16"/>
  <c r="G38" i="16" s="1"/>
  <c r="H38" i="16" s="1"/>
  <c r="N80" i="14"/>
  <c r="N135" i="14"/>
  <c r="N50" i="14"/>
  <c r="M79" i="14"/>
  <c r="J73" i="14"/>
  <c r="J37" i="16" l="1"/>
  <c r="K37" i="16" s="1"/>
  <c r="F59" i="16"/>
  <c r="G59" i="16" s="1"/>
  <c r="H59" i="16" s="1"/>
  <c r="N81" i="14"/>
  <c r="L169" i="16"/>
  <c r="L197" i="16" s="1"/>
  <c r="L113" i="16"/>
  <c r="L141" i="16" s="1"/>
  <c r="N82" i="14" l="1"/>
  <c r="N136" i="14"/>
  <c r="G73" i="14"/>
  <c r="E73" i="14"/>
  <c r="L73" i="14"/>
  <c r="H73" i="14"/>
  <c r="C73" i="14"/>
  <c r="I73" i="14"/>
  <c r="N72" i="14"/>
  <c r="K73" i="14"/>
  <c r="F73" i="14"/>
  <c r="N52" i="14"/>
  <c r="N70" i="14"/>
  <c r="N69" i="14"/>
  <c r="N59" i="14"/>
  <c r="N63" i="14"/>
  <c r="N53" i="14"/>
  <c r="N55" i="14"/>
  <c r="N62" i="14"/>
  <c r="N67" i="14"/>
  <c r="N61" i="14"/>
  <c r="N71" i="14"/>
  <c r="N65" i="14"/>
  <c r="N66" i="14"/>
  <c r="N64" i="14"/>
  <c r="N58" i="14"/>
  <c r="N54" i="14"/>
  <c r="N68" i="14"/>
  <c r="N57" i="14"/>
  <c r="N56" i="14"/>
  <c r="D73" i="14"/>
  <c r="N60" i="14"/>
  <c r="N51" i="14"/>
  <c r="N83" i="14" l="1"/>
  <c r="N137" i="14"/>
  <c r="M73" i="14"/>
  <c r="N84" i="14" l="1"/>
  <c r="N138" i="14"/>
  <c r="N106" i="14"/>
  <c r="M107" i="14"/>
  <c r="I38" i="16" s="1"/>
  <c r="M108" i="14"/>
  <c r="I39" i="16" s="1"/>
  <c r="J39" i="16" s="1"/>
  <c r="K39" i="16" s="1"/>
  <c r="J38" i="16" l="1"/>
  <c r="K38" i="16" s="1"/>
  <c r="N85" i="14"/>
  <c r="N139" i="14"/>
  <c r="N108" i="14"/>
  <c r="M135" i="14"/>
  <c r="N107" i="14"/>
  <c r="M134" i="14"/>
  <c r="M109" i="14"/>
  <c r="I40" i="16" s="1"/>
  <c r="J40" i="16" s="1"/>
  <c r="K40" i="16" s="1"/>
  <c r="N86" i="14" l="1"/>
  <c r="N140" i="14"/>
  <c r="N109" i="14"/>
  <c r="M136" i="14"/>
  <c r="M110" i="14"/>
  <c r="I41" i="16" s="1"/>
  <c r="J41" i="16" l="1"/>
  <c r="K41" i="16" s="1"/>
  <c r="N87" i="14"/>
  <c r="N141" i="14"/>
  <c r="N110" i="14"/>
  <c r="M137" i="14"/>
  <c r="M111" i="14"/>
  <c r="I42" i="16" s="1"/>
  <c r="J42" i="16" s="1"/>
  <c r="K42" i="16" s="1"/>
  <c r="N88" i="14" l="1"/>
  <c r="N142" i="14"/>
  <c r="N111" i="14"/>
  <c r="M138" i="14"/>
  <c r="M112" i="14"/>
  <c r="I43" i="16" s="1"/>
  <c r="J43" i="16" s="1"/>
  <c r="K43" i="16" s="1"/>
  <c r="N89" i="14" l="1"/>
  <c r="N143" i="14"/>
  <c r="N112" i="14"/>
  <c r="M139" i="14"/>
  <c r="M113" i="14"/>
  <c r="I44" i="16" s="1"/>
  <c r="J44" i="16" s="1"/>
  <c r="K44" i="16" s="1"/>
  <c r="N90" i="14" l="1"/>
  <c r="N144" i="14"/>
  <c r="N113" i="14"/>
  <c r="M140" i="14"/>
  <c r="M114" i="14"/>
  <c r="I45" i="16" s="1"/>
  <c r="J45" i="16" s="1"/>
  <c r="K45" i="16" s="1"/>
  <c r="N91" i="14" l="1"/>
  <c r="N145" i="14"/>
  <c r="N114" i="14"/>
  <c r="M141" i="14"/>
  <c r="M115" i="14"/>
  <c r="M142" i="14" l="1"/>
  <c r="I46" i="16"/>
  <c r="J46" i="16" s="1"/>
  <c r="K46" i="16" s="1"/>
  <c r="N92" i="14"/>
  <c r="N146" i="14"/>
  <c r="N115" i="14"/>
  <c r="M116" i="14"/>
  <c r="I47" i="16" s="1"/>
  <c r="J47" i="16" s="1"/>
  <c r="K47" i="16" s="1"/>
  <c r="N93" i="14" l="1"/>
  <c r="N147" i="14"/>
  <c r="N116" i="14"/>
  <c r="M143" i="14"/>
  <c r="M117" i="14"/>
  <c r="M144" i="14" l="1"/>
  <c r="I48" i="16"/>
  <c r="J48" i="16" s="1"/>
  <c r="K48" i="16" s="1"/>
  <c r="N94" i="14"/>
  <c r="N148" i="14"/>
  <c r="N117" i="14"/>
  <c r="M118" i="14"/>
  <c r="I49" i="16" s="1"/>
  <c r="J49" i="16" s="1"/>
  <c r="K49" i="16" s="1"/>
  <c r="N95" i="14" l="1"/>
  <c r="N149" i="14"/>
  <c r="N118" i="14"/>
  <c r="M145" i="14"/>
  <c r="M119" i="14"/>
  <c r="I50" i="16" s="1"/>
  <c r="J50" i="16" s="1"/>
  <c r="K50" i="16" s="1"/>
  <c r="N96" i="14" l="1"/>
  <c r="N150" i="14"/>
  <c r="N119" i="14"/>
  <c r="M146" i="14"/>
  <c r="M120" i="14"/>
  <c r="I51" i="16" s="1"/>
  <c r="J51" i="16" s="1"/>
  <c r="K51" i="16" s="1"/>
  <c r="N97" i="14" l="1"/>
  <c r="N151" i="14"/>
  <c r="N120" i="14"/>
  <c r="M147" i="14"/>
  <c r="M121" i="14"/>
  <c r="I52" i="16" s="1"/>
  <c r="J52" i="16" s="1"/>
  <c r="K52" i="16" s="1"/>
  <c r="N98" i="14" l="1"/>
  <c r="N152" i="14"/>
  <c r="N121" i="14"/>
  <c r="M148" i="14"/>
  <c r="M122" i="14"/>
  <c r="I53" i="16" s="1"/>
  <c r="J53" i="16" s="1"/>
  <c r="K53" i="16" s="1"/>
  <c r="N99" i="14" l="1"/>
  <c r="N153" i="14"/>
  <c r="N122" i="14"/>
  <c r="M149" i="14"/>
  <c r="M123" i="14"/>
  <c r="I54" i="16" s="1"/>
  <c r="J54" i="16" s="1"/>
  <c r="K54" i="16" s="1"/>
  <c r="N100" i="14" l="1"/>
  <c r="N154" i="14"/>
  <c r="N123" i="14"/>
  <c r="M150" i="14"/>
  <c r="M124" i="14"/>
  <c r="I55" i="16" s="1"/>
  <c r="J55" i="16" s="1"/>
  <c r="K55" i="16" s="1"/>
  <c r="N101" i="14" l="1"/>
  <c r="N155" i="14"/>
  <c r="N124" i="14"/>
  <c r="M151" i="14"/>
  <c r="M125" i="14"/>
  <c r="I56" i="16" s="1"/>
  <c r="J56" i="16" s="1"/>
  <c r="K56" i="16" s="1"/>
  <c r="L102" i="14" l="1"/>
  <c r="J102" i="14"/>
  <c r="E102" i="14"/>
  <c r="H102" i="14"/>
  <c r="F102" i="14"/>
  <c r="I102" i="14"/>
  <c r="G102" i="14"/>
  <c r="K102" i="14"/>
  <c r="C102" i="14"/>
  <c r="D102" i="14"/>
  <c r="M102" i="14"/>
  <c r="N125" i="14"/>
  <c r="M152" i="14"/>
  <c r="M126" i="14"/>
  <c r="I57" i="16" s="1"/>
  <c r="J57" i="16" s="1"/>
  <c r="K57" i="16" s="1"/>
  <c r="N126" i="14" l="1"/>
  <c r="M153" i="14"/>
  <c r="J113" i="16"/>
  <c r="J141" i="16" s="1"/>
  <c r="M127" i="14"/>
  <c r="M154" i="14" l="1"/>
  <c r="I58" i="16"/>
  <c r="N127" i="14"/>
  <c r="M128" i="14"/>
  <c r="M155" i="14" s="1"/>
  <c r="J169" i="16"/>
  <c r="J197" i="16" s="1"/>
  <c r="J58" i="16" l="1"/>
  <c r="K58" i="16" s="1"/>
  <c r="I59" i="16"/>
  <c r="J59" i="16" s="1"/>
  <c r="K59" i="16" s="1"/>
  <c r="M156" i="14"/>
  <c r="J156" i="14"/>
  <c r="C156" i="14"/>
  <c r="H156" i="14"/>
  <c r="G156" i="14"/>
  <c r="K156" i="14"/>
  <c r="I156" i="14"/>
  <c r="E156" i="14"/>
  <c r="D156" i="14"/>
  <c r="F156" i="14"/>
  <c r="L156" i="14"/>
  <c r="J129" i="14"/>
  <c r="K129" i="14"/>
  <c r="I129" i="14"/>
  <c r="C129" i="14"/>
  <c r="L129" i="14"/>
  <c r="E129" i="14"/>
  <c r="N128" i="14"/>
  <c r="F129" i="14"/>
  <c r="H129" i="14"/>
  <c r="G129" i="14"/>
  <c r="D129" i="14"/>
  <c r="M129" i="14" l="1"/>
  <c r="C8" i="15" l="1"/>
  <c r="C52" i="15" l="1"/>
  <c r="C54" i="15"/>
  <c r="C45" i="15"/>
  <c r="C55" i="15"/>
  <c r="C50" i="15"/>
  <c r="C47" i="15"/>
  <c r="C49" i="15"/>
  <c r="C56" i="15"/>
  <c r="C48" i="15"/>
  <c r="C57" i="15"/>
  <c r="C53" i="15"/>
  <c r="C51" i="15"/>
  <c r="C62" i="15"/>
  <c r="C58" i="15"/>
  <c r="C61" i="15"/>
  <c r="C46" i="15"/>
  <c r="C65" i="15"/>
  <c r="C59" i="15"/>
  <c r="C63" i="15"/>
  <c r="C64" i="15"/>
  <c r="C60" i="15"/>
  <c r="D55" i="15"/>
  <c r="D65" i="15"/>
  <c r="D52" i="15"/>
  <c r="D61" i="15"/>
  <c r="D54" i="15"/>
  <c r="D48" i="15"/>
  <c r="D44" i="15"/>
  <c r="I91" i="16" s="1"/>
  <c r="D46" i="15"/>
  <c r="D47" i="15"/>
  <c r="D64" i="15"/>
  <c r="D60" i="15"/>
  <c r="D50" i="15"/>
  <c r="D49" i="15"/>
  <c r="D63" i="15"/>
  <c r="D51" i="15"/>
  <c r="D53" i="15"/>
  <c r="D62" i="15"/>
  <c r="D59" i="15"/>
  <c r="D45" i="15"/>
  <c r="D56" i="15"/>
  <c r="D57" i="15"/>
  <c r="D58" i="15"/>
  <c r="E52" i="15"/>
  <c r="E49" i="15"/>
  <c r="E54" i="15"/>
  <c r="E44" i="15"/>
  <c r="E55" i="15"/>
  <c r="E50" i="15"/>
  <c r="E45" i="15"/>
  <c r="E47" i="15"/>
  <c r="E65" i="15"/>
  <c r="E60" i="15"/>
  <c r="E58" i="15"/>
  <c r="E48" i="15"/>
  <c r="E56" i="15"/>
  <c r="E59" i="15"/>
  <c r="E51" i="15"/>
  <c r="E61" i="15"/>
  <c r="E63" i="15"/>
  <c r="E64" i="15"/>
  <c r="E57" i="15"/>
  <c r="E53" i="15"/>
  <c r="E46" i="15"/>
  <c r="E62" i="15"/>
  <c r="C90" i="15" l="1"/>
  <c r="C166" i="16"/>
  <c r="C194" i="16" s="1"/>
  <c r="C110" i="16"/>
  <c r="C138" i="16" s="1"/>
  <c r="C82" i="15"/>
  <c r="C158" i="16"/>
  <c r="C186" i="16" s="1"/>
  <c r="C102" i="16"/>
  <c r="C130" i="16" s="1"/>
  <c r="C86" i="15"/>
  <c r="C162" i="16"/>
  <c r="C190" i="16" s="1"/>
  <c r="C106" i="16"/>
  <c r="C134" i="16" s="1"/>
  <c r="C88" i="15"/>
  <c r="C164" i="16"/>
  <c r="C192" i="16" s="1"/>
  <c r="C108" i="16"/>
  <c r="C136" i="16" s="1"/>
  <c r="C80" i="15"/>
  <c r="C100" i="16"/>
  <c r="C128" i="16" s="1"/>
  <c r="C156" i="16"/>
  <c r="C184" i="16" s="1"/>
  <c r="C76" i="15"/>
  <c r="C152" i="16"/>
  <c r="C180" i="16" s="1"/>
  <c r="C96" i="16"/>
  <c r="C124" i="16" s="1"/>
  <c r="C72" i="15"/>
  <c r="C148" i="16"/>
  <c r="C176" i="16" s="1"/>
  <c r="C92" i="16"/>
  <c r="C120" i="16" s="1"/>
  <c r="C73" i="15"/>
  <c r="C149" i="16"/>
  <c r="C177" i="16" s="1"/>
  <c r="C93" i="16"/>
  <c r="C121" i="16" s="1"/>
  <c r="C78" i="15"/>
  <c r="C154" i="16"/>
  <c r="C182" i="16" s="1"/>
  <c r="C98" i="16"/>
  <c r="C126" i="16" s="1"/>
  <c r="C87" i="15"/>
  <c r="C163" i="16"/>
  <c r="C191" i="16" s="1"/>
  <c r="C107" i="16"/>
  <c r="C135" i="16" s="1"/>
  <c r="C92" i="15"/>
  <c r="C168" i="16"/>
  <c r="C196" i="16" s="1"/>
  <c r="C112" i="16"/>
  <c r="C140" i="16" s="1"/>
  <c r="C85" i="15"/>
  <c r="C105" i="16"/>
  <c r="C133" i="16" s="1"/>
  <c r="C161" i="16"/>
  <c r="C189" i="16" s="1"/>
  <c r="C84" i="15"/>
  <c r="C160" i="16"/>
  <c r="C188" i="16" s="1"/>
  <c r="C104" i="16"/>
  <c r="C132" i="16" s="1"/>
  <c r="C74" i="15"/>
  <c r="C94" i="16"/>
  <c r="C122" i="16" s="1"/>
  <c r="C150" i="16"/>
  <c r="C178" i="16" s="1"/>
  <c r="C81" i="15"/>
  <c r="C157" i="16"/>
  <c r="C185" i="16" s="1"/>
  <c r="C101" i="16"/>
  <c r="C129" i="16" s="1"/>
  <c r="C83" i="15"/>
  <c r="C159" i="16"/>
  <c r="C187" i="16" s="1"/>
  <c r="C103" i="16"/>
  <c r="C131" i="16" s="1"/>
  <c r="C91" i="15"/>
  <c r="C167" i="16"/>
  <c r="C195" i="16" s="1"/>
  <c r="C111" i="16"/>
  <c r="C139" i="16" s="1"/>
  <c r="C71" i="15"/>
  <c r="C147" i="16"/>
  <c r="C89" i="15"/>
  <c r="C109" i="16"/>
  <c r="C137" i="16" s="1"/>
  <c r="C165" i="16"/>
  <c r="C193" i="16" s="1"/>
  <c r="C75" i="15"/>
  <c r="C151" i="16"/>
  <c r="C179" i="16" s="1"/>
  <c r="C95" i="16"/>
  <c r="C123" i="16" s="1"/>
  <c r="C77" i="15"/>
  <c r="C97" i="16"/>
  <c r="C125" i="16" s="1"/>
  <c r="C153" i="16"/>
  <c r="C181" i="16" s="1"/>
  <c r="C79" i="15"/>
  <c r="C155" i="16"/>
  <c r="C183" i="16" s="1"/>
  <c r="C99" i="16"/>
  <c r="C127" i="16" s="1"/>
  <c r="E80" i="15"/>
  <c r="M156" i="16"/>
  <c r="M184" i="16" s="1"/>
  <c r="M100" i="16"/>
  <c r="M128" i="16" s="1"/>
  <c r="E75" i="15"/>
  <c r="M151" i="16"/>
  <c r="M179" i="16" s="1"/>
  <c r="M95" i="16"/>
  <c r="M123" i="16" s="1"/>
  <c r="E71" i="15"/>
  <c r="M147" i="16"/>
  <c r="M175" i="16" s="1"/>
  <c r="M91" i="16"/>
  <c r="M119" i="16" s="1"/>
  <c r="D85" i="15"/>
  <c r="I105" i="16"/>
  <c r="I133" i="16" s="1"/>
  <c r="I161" i="16"/>
  <c r="I189" i="16" s="1"/>
  <c r="D90" i="15"/>
  <c r="I166" i="16"/>
  <c r="I194" i="16" s="1"/>
  <c r="I110" i="16"/>
  <c r="I138" i="16" s="1"/>
  <c r="D75" i="15"/>
  <c r="I151" i="16"/>
  <c r="I179" i="16" s="1"/>
  <c r="I95" i="16"/>
  <c r="I123" i="16" s="1"/>
  <c r="O123" i="16" s="1"/>
  <c r="E78" i="15"/>
  <c r="M154" i="16"/>
  <c r="M182" i="16" s="1"/>
  <c r="M98" i="16"/>
  <c r="M126" i="16" s="1"/>
  <c r="E72" i="15"/>
  <c r="M148" i="16"/>
  <c r="M176" i="16" s="1"/>
  <c r="M92" i="16"/>
  <c r="M120" i="16" s="1"/>
  <c r="D84" i="15"/>
  <c r="I104" i="16"/>
  <c r="I132" i="16" s="1"/>
  <c r="I160" i="16"/>
  <c r="I188" i="16" s="1"/>
  <c r="D76" i="15"/>
  <c r="I96" i="16"/>
  <c r="I124" i="16" s="1"/>
  <c r="I152" i="16"/>
  <c r="I180" i="16" s="1"/>
  <c r="D81" i="15"/>
  <c r="I101" i="16"/>
  <c r="I129" i="16" s="1"/>
  <c r="I157" i="16"/>
  <c r="I185" i="16" s="1"/>
  <c r="E89" i="15"/>
  <c r="M109" i="16"/>
  <c r="M137" i="16" s="1"/>
  <c r="M165" i="16"/>
  <c r="M193" i="16" s="1"/>
  <c r="E91" i="15"/>
  <c r="M167" i="16"/>
  <c r="M195" i="16" s="1"/>
  <c r="M111" i="16"/>
  <c r="M139" i="16" s="1"/>
  <c r="E86" i="15"/>
  <c r="M162" i="16"/>
  <c r="M190" i="16" s="1"/>
  <c r="M106" i="16"/>
  <c r="M134" i="16" s="1"/>
  <c r="E87" i="15"/>
  <c r="M163" i="16"/>
  <c r="M191" i="16" s="1"/>
  <c r="M107" i="16"/>
  <c r="M135" i="16" s="1"/>
  <c r="E77" i="15"/>
  <c r="M153" i="16"/>
  <c r="M181" i="16" s="1"/>
  <c r="M97" i="16"/>
  <c r="M125" i="16" s="1"/>
  <c r="E76" i="15"/>
  <c r="M96" i="16"/>
  <c r="M124" i="16" s="1"/>
  <c r="M152" i="16"/>
  <c r="M180" i="16" s="1"/>
  <c r="D83" i="15"/>
  <c r="I159" i="16"/>
  <c r="I187" i="16" s="1"/>
  <c r="I103" i="16"/>
  <c r="I131" i="16" s="1"/>
  <c r="D80" i="15"/>
  <c r="I156" i="16"/>
  <c r="I184" i="16" s="1"/>
  <c r="I100" i="16"/>
  <c r="I128" i="16" s="1"/>
  <c r="D77" i="15"/>
  <c r="I153" i="16"/>
  <c r="I181" i="16" s="1"/>
  <c r="I97" i="16"/>
  <c r="I125" i="16" s="1"/>
  <c r="O125" i="16" s="1"/>
  <c r="D73" i="15"/>
  <c r="I149" i="16"/>
  <c r="I177" i="16" s="1"/>
  <c r="I93" i="16"/>
  <c r="I121" i="16" s="1"/>
  <c r="D88" i="15"/>
  <c r="I164" i="16"/>
  <c r="I192" i="16" s="1"/>
  <c r="I108" i="16"/>
  <c r="I136" i="16" s="1"/>
  <c r="E88" i="15"/>
  <c r="M164" i="16"/>
  <c r="M192" i="16" s="1"/>
  <c r="M108" i="16"/>
  <c r="M136" i="16" s="1"/>
  <c r="E74" i="15"/>
  <c r="M150" i="16"/>
  <c r="M178" i="16" s="1"/>
  <c r="M94" i="16"/>
  <c r="M122" i="16" s="1"/>
  <c r="D86" i="15"/>
  <c r="I106" i="16"/>
  <c r="I134" i="16" s="1"/>
  <c r="I162" i="16"/>
  <c r="I190" i="16" s="1"/>
  <c r="D91" i="15"/>
  <c r="I111" i="16"/>
  <c r="I139" i="16" s="1"/>
  <c r="I167" i="16"/>
  <c r="I195" i="16" s="1"/>
  <c r="D92" i="15"/>
  <c r="I112" i="16"/>
  <c r="I140" i="16" s="1"/>
  <c r="I168" i="16"/>
  <c r="I196" i="16" s="1"/>
  <c r="E84" i="15"/>
  <c r="M104" i="16"/>
  <c r="M132" i="16" s="1"/>
  <c r="M160" i="16"/>
  <c r="M188" i="16" s="1"/>
  <c r="E85" i="15"/>
  <c r="M105" i="16"/>
  <c r="M133" i="16" s="1"/>
  <c r="M161" i="16"/>
  <c r="M189" i="16" s="1"/>
  <c r="E81" i="15"/>
  <c r="M157" i="16"/>
  <c r="M185" i="16" s="1"/>
  <c r="M101" i="16"/>
  <c r="M129" i="16" s="1"/>
  <c r="D89" i="15"/>
  <c r="I165" i="16"/>
  <c r="I193" i="16" s="1"/>
  <c r="I109" i="16"/>
  <c r="I137" i="16" s="1"/>
  <c r="D74" i="15"/>
  <c r="I94" i="16"/>
  <c r="I122" i="16" s="1"/>
  <c r="I150" i="16"/>
  <c r="I178" i="16" s="1"/>
  <c r="D82" i="15"/>
  <c r="I102" i="16"/>
  <c r="I130" i="16" s="1"/>
  <c r="I158" i="16"/>
  <c r="I186" i="16" s="1"/>
  <c r="E73" i="15"/>
  <c r="M93" i="16"/>
  <c r="M121" i="16" s="1"/>
  <c r="M149" i="16"/>
  <c r="M177" i="16" s="1"/>
  <c r="E90" i="15"/>
  <c r="M166" i="16"/>
  <c r="M194" i="16" s="1"/>
  <c r="M110" i="16"/>
  <c r="M138" i="16" s="1"/>
  <c r="E83" i="15"/>
  <c r="M159" i="16"/>
  <c r="M187" i="16" s="1"/>
  <c r="M103" i="16"/>
  <c r="M131" i="16" s="1"/>
  <c r="E92" i="15"/>
  <c r="M112" i="16"/>
  <c r="M140" i="16" s="1"/>
  <c r="M168" i="16"/>
  <c r="M196" i="16" s="1"/>
  <c r="E82" i="15"/>
  <c r="M158" i="16"/>
  <c r="M186" i="16" s="1"/>
  <c r="M102" i="16"/>
  <c r="M130" i="16" s="1"/>
  <c r="E79" i="15"/>
  <c r="M155" i="16"/>
  <c r="M183" i="16" s="1"/>
  <c r="M99" i="16"/>
  <c r="M127" i="16" s="1"/>
  <c r="D72" i="15"/>
  <c r="G72" i="15" s="1"/>
  <c r="I148" i="16"/>
  <c r="I176" i="16" s="1"/>
  <c r="I92" i="16"/>
  <c r="I120" i="16" s="1"/>
  <c r="O120" i="16" s="1"/>
  <c r="D78" i="15"/>
  <c r="I98" i="16"/>
  <c r="I126" i="16" s="1"/>
  <c r="I154" i="16"/>
  <c r="I182" i="16" s="1"/>
  <c r="D87" i="15"/>
  <c r="I107" i="16"/>
  <c r="I135" i="16" s="1"/>
  <c r="I163" i="16"/>
  <c r="I191" i="16" s="1"/>
  <c r="D71" i="15"/>
  <c r="I119" i="16"/>
  <c r="I147" i="16"/>
  <c r="D79" i="15"/>
  <c r="I155" i="16"/>
  <c r="I183" i="16" s="1"/>
  <c r="I99" i="16"/>
  <c r="I127" i="16" s="1"/>
  <c r="F60" i="15"/>
  <c r="F80" i="16" s="1"/>
  <c r="F50" i="15"/>
  <c r="F70" i="16" s="1"/>
  <c r="F52" i="15"/>
  <c r="F72" i="16" s="1"/>
  <c r="F57" i="15"/>
  <c r="F77" i="16" s="1"/>
  <c r="F54" i="15"/>
  <c r="F74" i="16" s="1"/>
  <c r="F47" i="15"/>
  <c r="F67" i="16" s="1"/>
  <c r="F64" i="15"/>
  <c r="F84" i="16" s="1"/>
  <c r="F62" i="15"/>
  <c r="F82" i="16" s="1"/>
  <c r="F48" i="15"/>
  <c r="F68" i="16" s="1"/>
  <c r="F63" i="15"/>
  <c r="F83" i="16" s="1"/>
  <c r="F46" i="15"/>
  <c r="F66" i="16" s="1"/>
  <c r="F51" i="15"/>
  <c r="F71" i="16" s="1"/>
  <c r="F56" i="15"/>
  <c r="F76" i="16" s="1"/>
  <c r="F55" i="15"/>
  <c r="F75" i="16" s="1"/>
  <c r="E66" i="15"/>
  <c r="F65" i="15"/>
  <c r="F85" i="16" s="1"/>
  <c r="F58" i="15"/>
  <c r="F78" i="16" s="1"/>
  <c r="F44" i="15"/>
  <c r="F64" i="16" s="1"/>
  <c r="C66" i="15"/>
  <c r="D66" i="15"/>
  <c r="F59" i="15"/>
  <c r="F79" i="16" s="1"/>
  <c r="F61" i="15"/>
  <c r="F81" i="16" s="1"/>
  <c r="F53" i="15"/>
  <c r="F73" i="16" s="1"/>
  <c r="F49" i="15"/>
  <c r="F69" i="16" s="1"/>
  <c r="F45" i="15"/>
  <c r="F65" i="16" s="1"/>
  <c r="G84" i="16" l="1"/>
  <c r="H84" i="16"/>
  <c r="I84" i="16" s="1"/>
  <c r="G81" i="16"/>
  <c r="H81" i="16"/>
  <c r="I81" i="16" s="1"/>
  <c r="G75" i="16"/>
  <c r="H75" i="16"/>
  <c r="I75" i="16" s="1"/>
  <c r="G67" i="16"/>
  <c r="H67" i="16"/>
  <c r="I67" i="16" s="1"/>
  <c r="G65" i="16"/>
  <c r="H65" i="16"/>
  <c r="I65" i="16" s="1"/>
  <c r="G79" i="16"/>
  <c r="H79" i="16"/>
  <c r="I79" i="16" s="1"/>
  <c r="G78" i="16"/>
  <c r="H78" i="16"/>
  <c r="I78" i="16" s="1"/>
  <c r="G76" i="16"/>
  <c r="H76" i="16"/>
  <c r="I76" i="16" s="1"/>
  <c r="G68" i="16"/>
  <c r="H68" i="16"/>
  <c r="I68" i="16" s="1"/>
  <c r="G74" i="16"/>
  <c r="H74" i="16"/>
  <c r="I74" i="16" s="1"/>
  <c r="G80" i="16"/>
  <c r="H80" i="16"/>
  <c r="I80" i="16" s="1"/>
  <c r="G73" i="16"/>
  <c r="H73" i="16"/>
  <c r="I73" i="16" s="1"/>
  <c r="G66" i="16"/>
  <c r="H66" i="16"/>
  <c r="I66" i="16" s="1"/>
  <c r="G72" i="16"/>
  <c r="H72" i="16"/>
  <c r="I72" i="16" s="1"/>
  <c r="F86" i="16"/>
  <c r="G86" i="16" s="1"/>
  <c r="G64" i="16"/>
  <c r="H64" i="16"/>
  <c r="G83" i="16"/>
  <c r="H83" i="16"/>
  <c r="I83" i="16" s="1"/>
  <c r="G70" i="16"/>
  <c r="H70" i="16"/>
  <c r="I70" i="16" s="1"/>
  <c r="G69" i="16"/>
  <c r="H69" i="16"/>
  <c r="I69" i="16" s="1"/>
  <c r="G85" i="16"/>
  <c r="H85" i="16"/>
  <c r="I85" i="16" s="1"/>
  <c r="G71" i="16"/>
  <c r="H71" i="16"/>
  <c r="I71" i="16" s="1"/>
  <c r="G82" i="16"/>
  <c r="H82" i="16"/>
  <c r="I82" i="16" s="1"/>
  <c r="G77" i="16"/>
  <c r="H77" i="16"/>
  <c r="I77" i="16" s="1"/>
  <c r="G75" i="15"/>
  <c r="O179" i="16"/>
  <c r="G88" i="15"/>
  <c r="O178" i="16"/>
  <c r="O193" i="16"/>
  <c r="G90" i="15"/>
  <c r="O126" i="16"/>
  <c r="G91" i="15"/>
  <c r="G80" i="15"/>
  <c r="G84" i="15"/>
  <c r="O195" i="16"/>
  <c r="O134" i="16"/>
  <c r="G77" i="15"/>
  <c r="G78" i="15"/>
  <c r="G83" i="15"/>
  <c r="G85" i="15"/>
  <c r="O135" i="16"/>
  <c r="G79" i="15"/>
  <c r="O127" i="16"/>
  <c r="G73" i="15"/>
  <c r="G74" i="15"/>
  <c r="O181" i="16"/>
  <c r="G87" i="15"/>
  <c r="G82" i="15"/>
  <c r="O140" i="16"/>
  <c r="O184" i="16"/>
  <c r="G86" i="15"/>
  <c r="O129" i="16"/>
  <c r="G76" i="15"/>
  <c r="O189" i="16"/>
  <c r="C169" i="16"/>
  <c r="C197" i="16" s="1"/>
  <c r="C175" i="16"/>
  <c r="G71" i="15"/>
  <c r="O176" i="16"/>
  <c r="G89" i="15"/>
  <c r="O190" i="16"/>
  <c r="C113" i="16"/>
  <c r="C141" i="16" s="1"/>
  <c r="C119" i="16"/>
  <c r="O119" i="16" s="1"/>
  <c r="O186" i="16"/>
  <c r="G92" i="15"/>
  <c r="O121" i="16"/>
  <c r="G81" i="15"/>
  <c r="O138" i="16"/>
  <c r="O133" i="16"/>
  <c r="O183" i="16"/>
  <c r="O182" i="16"/>
  <c r="O122" i="16"/>
  <c r="O191" i="16"/>
  <c r="O130" i="16"/>
  <c r="O136" i="16"/>
  <c r="O177" i="16"/>
  <c r="O131" i="16"/>
  <c r="O180" i="16"/>
  <c r="O132" i="16"/>
  <c r="O194" i="16"/>
  <c r="O188" i="16"/>
  <c r="I175" i="16"/>
  <c r="N147" i="16"/>
  <c r="O147" i="16" s="1"/>
  <c r="O137" i="16"/>
  <c r="O196" i="16"/>
  <c r="O139" i="16"/>
  <c r="O192" i="16"/>
  <c r="O128" i="16"/>
  <c r="O187" i="16"/>
  <c r="O185" i="16"/>
  <c r="O124" i="16"/>
  <c r="C93" i="15"/>
  <c r="D93" i="15"/>
  <c r="E93" i="15"/>
  <c r="G45" i="15"/>
  <c r="F72" i="15"/>
  <c r="G59" i="15"/>
  <c r="F86" i="15"/>
  <c r="G51" i="15"/>
  <c r="F78" i="15"/>
  <c r="G62" i="15"/>
  <c r="F89" i="15"/>
  <c r="G52" i="15"/>
  <c r="F79" i="15"/>
  <c r="G49" i="15"/>
  <c r="F76" i="15"/>
  <c r="G46" i="15"/>
  <c r="F73" i="15"/>
  <c r="G64" i="15"/>
  <c r="F91" i="15"/>
  <c r="G50" i="15"/>
  <c r="F77" i="15"/>
  <c r="G53" i="15"/>
  <c r="F80" i="15"/>
  <c r="G44" i="15"/>
  <c r="F71" i="15"/>
  <c r="G58" i="15"/>
  <c r="F85" i="15"/>
  <c r="G55" i="15"/>
  <c r="F82" i="15"/>
  <c r="G63" i="15"/>
  <c r="F90" i="15"/>
  <c r="G47" i="15"/>
  <c r="F74" i="15"/>
  <c r="G54" i="15"/>
  <c r="F81" i="15"/>
  <c r="G60" i="15"/>
  <c r="F87" i="15"/>
  <c r="G61" i="15"/>
  <c r="F88" i="15"/>
  <c r="G65" i="15"/>
  <c r="F92" i="15"/>
  <c r="G56" i="15"/>
  <c r="F83" i="15"/>
  <c r="G48" i="15"/>
  <c r="F75" i="15"/>
  <c r="G57" i="15"/>
  <c r="F84" i="15"/>
  <c r="F66" i="15"/>
  <c r="F67" i="15" s="1"/>
  <c r="I64" i="16" l="1"/>
  <c r="H86" i="16"/>
  <c r="I86" i="16" s="1"/>
  <c r="O175" i="16"/>
  <c r="G93" i="15"/>
  <c r="E94" i="15" s="1"/>
  <c r="N175" i="16"/>
  <c r="D67" i="15"/>
  <c r="E67" i="15"/>
  <c r="C67" i="15"/>
  <c r="G66" i="15"/>
  <c r="F93" i="15"/>
  <c r="I169" i="16"/>
  <c r="I197" i="16" s="1"/>
  <c r="I113" i="16"/>
  <c r="I141" i="16" s="1"/>
  <c r="M169" i="16"/>
  <c r="M197" i="16" s="1"/>
  <c r="M113" i="16"/>
  <c r="M141" i="16" s="1"/>
  <c r="F94" i="15" l="1"/>
  <c r="C94" i="15"/>
  <c r="D94" i="15"/>
  <c r="O197" i="16"/>
  <c r="O141" i="16"/>
  <c r="N106" i="16"/>
  <c r="N99" i="16"/>
  <c r="N154" i="16"/>
  <c r="N151" i="16"/>
  <c r="N111" i="16"/>
  <c r="N152" i="16"/>
  <c r="N97" i="16"/>
  <c r="N102" i="16"/>
  <c r="N163" i="16"/>
  <c r="N112" i="16"/>
  <c r="N162" i="16"/>
  <c r="N91" i="16"/>
  <c r="O91" i="16" s="1"/>
  <c r="N108" i="16"/>
  <c r="N155" i="16"/>
  <c r="N98" i="16"/>
  <c r="N95" i="16"/>
  <c r="N167" i="16"/>
  <c r="N148" i="16"/>
  <c r="N110" i="16"/>
  <c r="N100" i="16"/>
  <c r="N153" i="16"/>
  <c r="N149" i="16"/>
  <c r="N101" i="16"/>
  <c r="N109" i="16"/>
  <c r="N168" i="16"/>
  <c r="N164" i="16"/>
  <c r="N161" i="16"/>
  <c r="N94" i="16"/>
  <c r="N96" i="16"/>
  <c r="N166" i="16"/>
  <c r="N157" i="16"/>
  <c r="N159" i="16"/>
  <c r="N158" i="16"/>
  <c r="N160" i="16"/>
  <c r="N165" i="16"/>
  <c r="N105" i="16"/>
  <c r="N150" i="16"/>
  <c r="N92" i="16"/>
  <c r="N156" i="16"/>
  <c r="N93" i="16"/>
  <c r="N103" i="16"/>
  <c r="N104" i="16"/>
  <c r="N107" i="16"/>
  <c r="N193" i="16" l="1"/>
  <c r="O165" i="16"/>
  <c r="N129" i="16"/>
  <c r="O101" i="16"/>
  <c r="N190" i="16"/>
  <c r="O162" i="16"/>
  <c r="N125" i="16"/>
  <c r="O97" i="16"/>
  <c r="N120" i="16"/>
  <c r="O92" i="16"/>
  <c r="N192" i="16"/>
  <c r="O164" i="16"/>
  <c r="N183" i="16"/>
  <c r="O155" i="16"/>
  <c r="N127" i="16"/>
  <c r="O99" i="16"/>
  <c r="N184" i="16"/>
  <c r="O156" i="16"/>
  <c r="N189" i="16"/>
  <c r="O161" i="16"/>
  <c r="N126" i="16"/>
  <c r="O98" i="16"/>
  <c r="N188" i="16"/>
  <c r="O160" i="16"/>
  <c r="N176" i="16"/>
  <c r="O148" i="16"/>
  <c r="N180" i="16"/>
  <c r="O152" i="16"/>
  <c r="N131" i="16"/>
  <c r="O103" i="16"/>
  <c r="N178" i="16"/>
  <c r="O150" i="16"/>
  <c r="N186" i="16"/>
  <c r="O158" i="16"/>
  <c r="N124" i="16"/>
  <c r="O96" i="16"/>
  <c r="N196" i="16"/>
  <c r="O168" i="16"/>
  <c r="N181" i="16"/>
  <c r="O153" i="16"/>
  <c r="N195" i="16"/>
  <c r="O167" i="16"/>
  <c r="N136" i="16"/>
  <c r="O108" i="16"/>
  <c r="N191" i="16"/>
  <c r="O163" i="16"/>
  <c r="N139" i="16"/>
  <c r="O111" i="16"/>
  <c r="N134" i="16"/>
  <c r="O106" i="16"/>
  <c r="N135" i="16"/>
  <c r="O107" i="16"/>
  <c r="N185" i="16"/>
  <c r="O157" i="16"/>
  <c r="N138" i="16"/>
  <c r="O110" i="16"/>
  <c r="N182" i="16"/>
  <c r="O154" i="16"/>
  <c r="N132" i="16"/>
  <c r="O104" i="16"/>
  <c r="N194" i="16"/>
  <c r="O166" i="16"/>
  <c r="N177" i="16"/>
  <c r="O149" i="16"/>
  <c r="N140" i="16"/>
  <c r="O112" i="16"/>
  <c r="N121" i="16"/>
  <c r="O93" i="16"/>
  <c r="N133" i="16"/>
  <c r="O105" i="16"/>
  <c r="N187" i="16"/>
  <c r="O159" i="16"/>
  <c r="N122" i="16"/>
  <c r="O94" i="16"/>
  <c r="N137" i="16"/>
  <c r="O109" i="16"/>
  <c r="N128" i="16"/>
  <c r="O100" i="16"/>
  <c r="N123" i="16"/>
  <c r="O95" i="16"/>
  <c r="N130" i="16"/>
  <c r="O102" i="16"/>
  <c r="N179" i="16"/>
  <c r="O151" i="16"/>
  <c r="L142" i="16"/>
  <c r="M142" i="16"/>
  <c r="K142" i="16"/>
  <c r="F142" i="16"/>
  <c r="D142" i="16"/>
  <c r="E142" i="16"/>
  <c r="G142" i="16"/>
  <c r="H142" i="16"/>
  <c r="J142" i="16"/>
  <c r="C142" i="16"/>
  <c r="I142" i="16"/>
  <c r="F10" i="16"/>
  <c r="G10" i="16" s="1"/>
  <c r="N119" i="16"/>
  <c r="J28" i="16"/>
  <c r="L28" i="16" s="1"/>
  <c r="F20" i="16"/>
  <c r="F11" i="16"/>
  <c r="J11" i="16"/>
  <c r="L11" i="16" s="1"/>
  <c r="N113" i="16"/>
  <c r="F16" i="16"/>
  <c r="J13" i="16"/>
  <c r="L13" i="16" s="1"/>
  <c r="J29" i="16"/>
  <c r="L29" i="16" s="1"/>
  <c r="F13" i="16"/>
  <c r="J24" i="16"/>
  <c r="L24" i="16" s="1"/>
  <c r="J31" i="16"/>
  <c r="L31" i="16" s="1"/>
  <c r="F28" i="16"/>
  <c r="J25" i="16"/>
  <c r="L25" i="16" s="1"/>
  <c r="J14" i="16"/>
  <c r="L14" i="16" s="1"/>
  <c r="F25" i="16"/>
  <c r="J22" i="16"/>
  <c r="L22" i="16" s="1"/>
  <c r="F15" i="16"/>
  <c r="F19" i="16"/>
  <c r="F29" i="16"/>
  <c r="F30" i="16"/>
  <c r="J17" i="16"/>
  <c r="L17" i="16" s="1"/>
  <c r="F22" i="16"/>
  <c r="J19" i="16"/>
  <c r="L19" i="16" s="1"/>
  <c r="F24" i="16"/>
  <c r="J16" i="16"/>
  <c r="L16" i="16" s="1"/>
  <c r="F17" i="16"/>
  <c r="F21" i="16"/>
  <c r="J15" i="16"/>
  <c r="L15" i="16" s="1"/>
  <c r="F14" i="16"/>
  <c r="F27" i="16"/>
  <c r="F18" i="16"/>
  <c r="F26" i="16"/>
  <c r="F23" i="16"/>
  <c r="F12" i="16"/>
  <c r="J23" i="16"/>
  <c r="L23" i="16" s="1"/>
  <c r="J21" i="16"/>
  <c r="L21" i="16" s="1"/>
  <c r="J20" i="16"/>
  <c r="L20" i="16" s="1"/>
  <c r="J27" i="16"/>
  <c r="L27" i="16" s="1"/>
  <c r="J12" i="16"/>
  <c r="L12" i="16" s="1"/>
  <c r="J30" i="16"/>
  <c r="L30" i="16" s="1"/>
  <c r="J18" i="16"/>
  <c r="L18" i="16" s="1"/>
  <c r="F31" i="16"/>
  <c r="J26" i="16"/>
  <c r="L26" i="16" s="1"/>
  <c r="N169" i="16"/>
  <c r="O169" i="16" s="1"/>
  <c r="J10" i="16"/>
  <c r="L10" i="16" s="1"/>
  <c r="N141" i="16" l="1"/>
  <c r="N142" i="16" s="1"/>
  <c r="O113" i="16"/>
  <c r="D170" i="16"/>
  <c r="N197" i="16"/>
  <c r="N170" i="16"/>
  <c r="N114" i="16"/>
  <c r="C114" i="16"/>
  <c r="K31" i="16"/>
  <c r="M31" i="16"/>
  <c r="E32" i="17"/>
  <c r="F32" i="17" s="1"/>
  <c r="G32" i="17" s="1"/>
  <c r="M29" i="16"/>
  <c r="E30" i="17"/>
  <c r="F30" i="17" s="1"/>
  <c r="G30" i="17" s="1"/>
  <c r="K29" i="16"/>
  <c r="M20" i="16"/>
  <c r="K20" i="16"/>
  <c r="E21" i="17"/>
  <c r="F21" i="17" s="1"/>
  <c r="G21" i="17" s="1"/>
  <c r="G14" i="16"/>
  <c r="H14" i="16"/>
  <c r="I14" i="16" s="1"/>
  <c r="H15" i="17"/>
  <c r="I15" i="17" s="1"/>
  <c r="J15" i="17" s="1"/>
  <c r="G24" i="16"/>
  <c r="H25" i="17"/>
  <c r="I25" i="17" s="1"/>
  <c r="J25" i="17" s="1"/>
  <c r="H24" i="16"/>
  <c r="I24" i="16" s="1"/>
  <c r="G22" i="16"/>
  <c r="H22" i="16"/>
  <c r="I22" i="16" s="1"/>
  <c r="H23" i="17"/>
  <c r="I23" i="17" s="1"/>
  <c r="J23" i="17" s="1"/>
  <c r="K27" i="16"/>
  <c r="M27" i="16"/>
  <c r="E28" i="17"/>
  <c r="F28" i="17" s="1"/>
  <c r="G28" i="17" s="1"/>
  <c r="K21" i="16"/>
  <c r="E22" i="17"/>
  <c r="F22" i="17" s="1"/>
  <c r="G22" i="17" s="1"/>
  <c r="M21" i="16"/>
  <c r="M25" i="16"/>
  <c r="E26" i="17"/>
  <c r="F26" i="17" s="1"/>
  <c r="G26" i="17" s="1"/>
  <c r="K25" i="16"/>
  <c r="G28" i="16"/>
  <c r="H28" i="16"/>
  <c r="I28" i="16" s="1"/>
  <c r="H29" i="17"/>
  <c r="I29" i="17" s="1"/>
  <c r="J29" i="17" s="1"/>
  <c r="G13" i="16"/>
  <c r="H13" i="16"/>
  <c r="I13" i="16" s="1"/>
  <c r="H14" i="17"/>
  <c r="I14" i="17" s="1"/>
  <c r="J14" i="17" s="1"/>
  <c r="H10" i="16"/>
  <c r="I10" i="16" s="1"/>
  <c r="F32" i="16"/>
  <c r="H32" i="16" s="1"/>
  <c r="I32" i="16" s="1"/>
  <c r="H11" i="17"/>
  <c r="K11" i="16"/>
  <c r="M11" i="16"/>
  <c r="E12" i="17"/>
  <c r="F12" i="17" s="1"/>
  <c r="G12" i="17" s="1"/>
  <c r="G20" i="16"/>
  <c r="H20" i="16"/>
  <c r="I20" i="16" s="1"/>
  <c r="H21" i="17"/>
  <c r="I21" i="17" s="1"/>
  <c r="J21" i="17" s="1"/>
  <c r="J32" i="16"/>
  <c r="L32" i="16" s="1"/>
  <c r="M32" i="16" s="1"/>
  <c r="K10" i="16"/>
  <c r="E11" i="17"/>
  <c r="G31" i="16"/>
  <c r="H31" i="16"/>
  <c r="I31" i="16" s="1"/>
  <c r="H32" i="17"/>
  <c r="I32" i="17" s="1"/>
  <c r="J32" i="17" s="1"/>
  <c r="M18" i="16"/>
  <c r="K18" i="16"/>
  <c r="E19" i="17"/>
  <c r="F19" i="17" s="1"/>
  <c r="G19" i="17" s="1"/>
  <c r="H30" i="16"/>
  <c r="I30" i="16" s="1"/>
  <c r="G30" i="16"/>
  <c r="H31" i="17"/>
  <c r="I31" i="17" s="1"/>
  <c r="J31" i="17" s="1"/>
  <c r="H25" i="16"/>
  <c r="I25" i="16" s="1"/>
  <c r="G25" i="16"/>
  <c r="H26" i="17"/>
  <c r="I26" i="17" s="1"/>
  <c r="J26" i="17" s="1"/>
  <c r="G11" i="16"/>
  <c r="H11" i="16"/>
  <c r="I11" i="16" s="1"/>
  <c r="H12" i="17"/>
  <c r="I12" i="17" s="1"/>
  <c r="J12" i="17" s="1"/>
  <c r="L170" i="16"/>
  <c r="F170" i="16"/>
  <c r="H170" i="16"/>
  <c r="E170" i="16"/>
  <c r="G170" i="16"/>
  <c r="K170" i="16"/>
  <c r="J170" i="16"/>
  <c r="M170" i="16"/>
  <c r="I170" i="16"/>
  <c r="K26" i="16"/>
  <c r="M26" i="16"/>
  <c r="E27" i="17"/>
  <c r="F27" i="17" s="1"/>
  <c r="G27" i="17" s="1"/>
  <c r="M12" i="16"/>
  <c r="K12" i="16"/>
  <c r="E13" i="17"/>
  <c r="F13" i="17" s="1"/>
  <c r="G13" i="17" s="1"/>
  <c r="H18" i="16"/>
  <c r="I18" i="16" s="1"/>
  <c r="G18" i="16"/>
  <c r="H19" i="17"/>
  <c r="I19" i="17" s="1"/>
  <c r="J19" i="17" s="1"/>
  <c r="M15" i="16"/>
  <c r="K15" i="16"/>
  <c r="E16" i="17"/>
  <c r="F16" i="17" s="1"/>
  <c r="G16" i="17" s="1"/>
  <c r="C170" i="16"/>
  <c r="H19" i="16"/>
  <c r="I19" i="16" s="1"/>
  <c r="H20" i="17"/>
  <c r="I20" i="17" s="1"/>
  <c r="J20" i="17" s="1"/>
  <c r="G19" i="16"/>
  <c r="M14" i="16"/>
  <c r="K14" i="16"/>
  <c r="E15" i="17"/>
  <c r="F15" i="17" s="1"/>
  <c r="G15" i="17" s="1"/>
  <c r="M24" i="16"/>
  <c r="K24" i="16"/>
  <c r="E25" i="17"/>
  <c r="F25" i="17" s="1"/>
  <c r="G25" i="17" s="1"/>
  <c r="H16" i="16"/>
  <c r="I16" i="16" s="1"/>
  <c r="H17" i="17"/>
  <c r="I17" i="17" s="1"/>
  <c r="J17" i="17" s="1"/>
  <c r="G16" i="16"/>
  <c r="H114" i="16"/>
  <c r="G114" i="16"/>
  <c r="L114" i="16"/>
  <c r="J114" i="16"/>
  <c r="F114" i="16"/>
  <c r="E114" i="16"/>
  <c r="K114" i="16"/>
  <c r="D114" i="16"/>
  <c r="I114" i="16"/>
  <c r="M114" i="16"/>
  <c r="M30" i="16"/>
  <c r="E31" i="17"/>
  <c r="F31" i="17" s="1"/>
  <c r="G31" i="17" s="1"/>
  <c r="K30" i="16"/>
  <c r="H23" i="16"/>
  <c r="I23" i="16" s="1"/>
  <c r="G23" i="16"/>
  <c r="H24" i="17"/>
  <c r="I24" i="17" s="1"/>
  <c r="J24" i="17" s="1"/>
  <c r="K19" i="16"/>
  <c r="M19" i="16"/>
  <c r="E20" i="17"/>
  <c r="F20" i="17" s="1"/>
  <c r="G20" i="17" s="1"/>
  <c r="K17" i="16"/>
  <c r="E18" i="17"/>
  <c r="F18" i="17" s="1"/>
  <c r="G18" i="17" s="1"/>
  <c r="M17" i="16"/>
  <c r="M23" i="16"/>
  <c r="E24" i="17"/>
  <c r="F24" i="17" s="1"/>
  <c r="G24" i="17" s="1"/>
  <c r="K23" i="16"/>
  <c r="H12" i="16"/>
  <c r="I12" i="16" s="1"/>
  <c r="H13" i="17"/>
  <c r="I13" i="17" s="1"/>
  <c r="J13" i="17" s="1"/>
  <c r="G12" i="16"/>
  <c r="H26" i="16"/>
  <c r="I26" i="16" s="1"/>
  <c r="G26" i="16"/>
  <c r="H27" i="17"/>
  <c r="I27" i="17" s="1"/>
  <c r="J27" i="17" s="1"/>
  <c r="G27" i="16"/>
  <c r="H28" i="17"/>
  <c r="I28" i="17" s="1"/>
  <c r="J28" i="17" s="1"/>
  <c r="H27" i="16"/>
  <c r="I27" i="16" s="1"/>
  <c r="H21" i="16"/>
  <c r="I21" i="16" s="1"/>
  <c r="G21" i="16"/>
  <c r="H22" i="17"/>
  <c r="I22" i="17" s="1"/>
  <c r="J22" i="17" s="1"/>
  <c r="H18" i="17"/>
  <c r="I18" i="17" s="1"/>
  <c r="J18" i="17" s="1"/>
  <c r="G17" i="16"/>
  <c r="H17" i="16"/>
  <c r="I17" i="16" s="1"/>
  <c r="K16" i="16"/>
  <c r="M16" i="16"/>
  <c r="E17" i="17"/>
  <c r="F17" i="17" s="1"/>
  <c r="G17" i="17" s="1"/>
  <c r="H29" i="16"/>
  <c r="I29" i="16" s="1"/>
  <c r="G29" i="16"/>
  <c r="H30" i="17"/>
  <c r="I30" i="17" s="1"/>
  <c r="J30" i="17" s="1"/>
  <c r="H15" i="16"/>
  <c r="I15" i="16" s="1"/>
  <c r="G15" i="16"/>
  <c r="H16" i="17"/>
  <c r="I16" i="17" s="1"/>
  <c r="J16" i="17" s="1"/>
  <c r="K22" i="16"/>
  <c r="M22" i="16"/>
  <c r="E23" i="17"/>
  <c r="F23" i="17" s="1"/>
  <c r="G23" i="17" s="1"/>
  <c r="M13" i="16"/>
  <c r="E14" i="17"/>
  <c r="F14" i="17" s="1"/>
  <c r="G14" i="17" s="1"/>
  <c r="K13" i="16"/>
  <c r="K28" i="16"/>
  <c r="E29" i="17"/>
  <c r="F29" i="17" s="1"/>
  <c r="G29" i="17" s="1"/>
  <c r="M28" i="16"/>
  <c r="M198" i="16" l="1"/>
  <c r="N198" i="16"/>
  <c r="D198" i="16"/>
  <c r="K198" i="16"/>
  <c r="H198" i="16"/>
  <c r="G198" i="16"/>
  <c r="E198" i="16"/>
  <c r="F198" i="16"/>
  <c r="L198" i="16"/>
  <c r="J198" i="16"/>
  <c r="C198" i="16"/>
  <c r="I198" i="16"/>
  <c r="G42" i="17"/>
  <c r="G69" i="17" s="1"/>
  <c r="I42" i="17"/>
  <c r="I69" i="17" s="1"/>
  <c r="H42" i="17"/>
  <c r="H69" i="17" s="1"/>
  <c r="J42" i="17"/>
  <c r="J69" i="17" s="1"/>
  <c r="E43" i="17"/>
  <c r="F43" i="17"/>
  <c r="G59" i="17"/>
  <c r="G86" i="17" s="1"/>
  <c r="H59" i="17"/>
  <c r="H86" i="17" s="1"/>
  <c r="I59" i="17"/>
  <c r="I86" i="17" s="1"/>
  <c r="J59" i="17"/>
  <c r="J86" i="17" s="1"/>
  <c r="G47" i="17"/>
  <c r="H47" i="17"/>
  <c r="I47" i="17"/>
  <c r="I74" i="17" s="1"/>
  <c r="J47" i="17"/>
  <c r="J74" i="17" s="1"/>
  <c r="G46" i="17"/>
  <c r="G73" i="17" s="1"/>
  <c r="I46" i="17"/>
  <c r="I73" i="17" s="1"/>
  <c r="H46" i="17"/>
  <c r="H73" i="17" s="1"/>
  <c r="J46" i="17"/>
  <c r="J73" i="17" s="1"/>
  <c r="E45" i="17"/>
  <c r="F45" i="17"/>
  <c r="G60" i="17"/>
  <c r="G87" i="17" s="1"/>
  <c r="I60" i="17"/>
  <c r="I87" i="17" s="1"/>
  <c r="J60" i="17"/>
  <c r="J87" i="17" s="1"/>
  <c r="H60" i="17"/>
  <c r="H87" i="17" s="1"/>
  <c r="E41" i="17"/>
  <c r="F41" i="17"/>
  <c r="E51" i="17"/>
  <c r="F51" i="17"/>
  <c r="E61" i="17"/>
  <c r="F61" i="17"/>
  <c r="E49" i="17"/>
  <c r="F49" i="17"/>
  <c r="G48" i="17"/>
  <c r="G75" i="17" s="1"/>
  <c r="I48" i="17"/>
  <c r="I75" i="17" s="1"/>
  <c r="J48" i="17"/>
  <c r="J75" i="17" s="1"/>
  <c r="H48" i="17"/>
  <c r="H75" i="17" s="1"/>
  <c r="E48" i="17"/>
  <c r="F48" i="17"/>
  <c r="G44" i="17"/>
  <c r="G71" i="17" s="1"/>
  <c r="I44" i="17"/>
  <c r="I71" i="17" s="1"/>
  <c r="H44" i="17"/>
  <c r="H71" i="17" s="1"/>
  <c r="J44" i="17"/>
  <c r="J71" i="17" s="1"/>
  <c r="G45" i="17"/>
  <c r="J45" i="17"/>
  <c r="J72" i="17" s="1"/>
  <c r="H45" i="17"/>
  <c r="H72" i="17" s="1"/>
  <c r="I45" i="17"/>
  <c r="I72" i="17" s="1"/>
  <c r="G51" i="17"/>
  <c r="I51" i="17"/>
  <c r="H51" i="17"/>
  <c r="J51" i="17"/>
  <c r="G57" i="17"/>
  <c r="G84" i="17" s="1"/>
  <c r="H57" i="17"/>
  <c r="H84" i="17" s="1"/>
  <c r="I57" i="17"/>
  <c r="I84" i="17" s="1"/>
  <c r="J57" i="17"/>
  <c r="J84" i="17" s="1"/>
  <c r="E47" i="17"/>
  <c r="F47" i="17"/>
  <c r="E44" i="17"/>
  <c r="E71" i="17" s="1"/>
  <c r="F44" i="17"/>
  <c r="F71" i="17" s="1"/>
  <c r="G49" i="17"/>
  <c r="H49" i="17"/>
  <c r="I49" i="17"/>
  <c r="J49" i="17"/>
  <c r="E56" i="17"/>
  <c r="E83" i="17" s="1"/>
  <c r="F56" i="17"/>
  <c r="F83" i="17" s="1"/>
  <c r="G55" i="17"/>
  <c r="H55" i="17"/>
  <c r="I55" i="17"/>
  <c r="J55" i="17"/>
  <c r="G50" i="17"/>
  <c r="G77" i="17" s="1"/>
  <c r="J50" i="17"/>
  <c r="J77" i="17" s="1"/>
  <c r="H50" i="17"/>
  <c r="H77" i="17" s="1"/>
  <c r="I50" i="17"/>
  <c r="I77" i="17" s="1"/>
  <c r="G58" i="17"/>
  <c r="G85" i="17" s="1"/>
  <c r="I58" i="17"/>
  <c r="I85" i="17" s="1"/>
  <c r="J58" i="17"/>
  <c r="J85" i="17" s="1"/>
  <c r="H58" i="17"/>
  <c r="H85" i="17" s="1"/>
  <c r="E55" i="17"/>
  <c r="F55" i="17"/>
  <c r="G52" i="17"/>
  <c r="G79" i="17" s="1"/>
  <c r="J52" i="17"/>
  <c r="J79" i="17" s="1"/>
  <c r="H52" i="17"/>
  <c r="H79" i="17" s="1"/>
  <c r="I52" i="17"/>
  <c r="I79" i="17" s="1"/>
  <c r="G54" i="17"/>
  <c r="J54" i="17"/>
  <c r="H54" i="17"/>
  <c r="I54" i="17"/>
  <c r="F46" i="17"/>
  <c r="F73" i="17" s="1"/>
  <c r="E46" i="17"/>
  <c r="E73" i="17" s="1"/>
  <c r="G56" i="17"/>
  <c r="G83" i="17" s="1"/>
  <c r="I56" i="17"/>
  <c r="I83" i="17" s="1"/>
  <c r="J56" i="17"/>
  <c r="J83" i="17" s="1"/>
  <c r="H56" i="17"/>
  <c r="H83" i="17" s="1"/>
  <c r="F58" i="17"/>
  <c r="F85" i="17" s="1"/>
  <c r="E58" i="17"/>
  <c r="E85" i="17" s="1"/>
  <c r="E52" i="17"/>
  <c r="E79" i="17" s="1"/>
  <c r="F52" i="17"/>
  <c r="F79" i="17" s="1"/>
  <c r="E53" i="17"/>
  <c r="E80" i="17" s="1"/>
  <c r="F53" i="17"/>
  <c r="F80" i="17" s="1"/>
  <c r="G53" i="17"/>
  <c r="G80" i="17" s="1"/>
  <c r="I53" i="17"/>
  <c r="I80" i="17" s="1"/>
  <c r="H53" i="17"/>
  <c r="H80" i="17" s="1"/>
  <c r="J53" i="17"/>
  <c r="J80" i="17" s="1"/>
  <c r="E60" i="17"/>
  <c r="F60" i="17"/>
  <c r="F54" i="17"/>
  <c r="E54" i="17"/>
  <c r="E42" i="17"/>
  <c r="E69" i="17" s="1"/>
  <c r="F42" i="17"/>
  <c r="F69" i="17" s="1"/>
  <c r="G41" i="17"/>
  <c r="G68" i="17" s="1"/>
  <c r="J41" i="17"/>
  <c r="J68" i="17" s="1"/>
  <c r="H41" i="17"/>
  <c r="H68" i="17" s="1"/>
  <c r="I41" i="17"/>
  <c r="I68" i="17" s="1"/>
  <c r="G61" i="17"/>
  <c r="H61" i="17"/>
  <c r="I61" i="17"/>
  <c r="I88" i="17" s="1"/>
  <c r="J61" i="17"/>
  <c r="J88" i="17" s="1"/>
  <c r="G43" i="17"/>
  <c r="J43" i="17"/>
  <c r="H43" i="17"/>
  <c r="I43" i="17"/>
  <c r="E57" i="17"/>
  <c r="E84" i="17" s="1"/>
  <c r="F57" i="17"/>
  <c r="F84" i="17" s="1"/>
  <c r="F50" i="17"/>
  <c r="F77" i="17" s="1"/>
  <c r="E50" i="17"/>
  <c r="E77" i="17" s="1"/>
  <c r="E59" i="17"/>
  <c r="E86" i="17" s="1"/>
  <c r="F59" i="17"/>
  <c r="F86" i="17" s="1"/>
  <c r="E87" i="17"/>
  <c r="F87" i="17"/>
  <c r="D60" i="17"/>
  <c r="D87" i="17" s="1"/>
  <c r="D43" i="17"/>
  <c r="D70" i="17" s="1"/>
  <c r="D49" i="17"/>
  <c r="D76" i="17" s="1"/>
  <c r="D56" i="17"/>
  <c r="D83" i="17" s="1"/>
  <c r="M10" i="16"/>
  <c r="H33" i="17"/>
  <c r="I11" i="17"/>
  <c r="J11" i="17" s="1"/>
  <c r="D57" i="17"/>
  <c r="D84" i="17" s="1"/>
  <c r="D50" i="17"/>
  <c r="D77" i="17" s="1"/>
  <c r="D61" i="17"/>
  <c r="D88" i="17" s="1"/>
  <c r="D45" i="17"/>
  <c r="D72" i="17" s="1"/>
  <c r="D42" i="17"/>
  <c r="D69" i="17" s="1"/>
  <c r="D48" i="17"/>
  <c r="D75" i="17" s="1"/>
  <c r="D41" i="17"/>
  <c r="D68" i="17" s="1"/>
  <c r="G32" i="16"/>
  <c r="D46" i="17"/>
  <c r="D73" i="17" s="1"/>
  <c r="D54" i="17"/>
  <c r="D81" i="17" s="1"/>
  <c r="E33" i="17"/>
  <c r="F33" i="17" s="1"/>
  <c r="G33" i="17" s="1"/>
  <c r="F11" i="17"/>
  <c r="G11" i="17" s="1"/>
  <c r="D55" i="17"/>
  <c r="D82" i="17" s="1"/>
  <c r="D58" i="17"/>
  <c r="D85" i="17" s="1"/>
  <c r="D52" i="17"/>
  <c r="D79" i="17" s="1"/>
  <c r="D53" i="17"/>
  <c r="D80" i="17" s="1"/>
  <c r="D47" i="17"/>
  <c r="D74" i="17" s="1"/>
  <c r="D44" i="17"/>
  <c r="D71" i="17" s="1"/>
  <c r="K32" i="16"/>
  <c r="D51" i="17"/>
  <c r="D78" i="17" s="1"/>
  <c r="D59" i="17"/>
  <c r="D86" i="17" s="1"/>
  <c r="H40" i="17" l="1"/>
  <c r="H67" i="17" s="1"/>
  <c r="G40" i="17"/>
  <c r="G67" i="17" s="1"/>
  <c r="I40" i="17"/>
  <c r="I67" i="17" s="1"/>
  <c r="J40" i="17"/>
  <c r="J67" i="17" s="1"/>
  <c r="E40" i="17"/>
  <c r="E67" i="17" s="1"/>
  <c r="F40" i="17"/>
  <c r="F67" i="17" s="1"/>
  <c r="D40" i="17"/>
  <c r="D67" i="17" s="1"/>
  <c r="D89" i="17" s="1"/>
  <c r="D62" i="17" s="1"/>
  <c r="E81" i="17"/>
  <c r="G88" i="17"/>
  <c r="E88" i="17"/>
  <c r="G82" i="17"/>
  <c r="E76" i="17"/>
  <c r="E68" i="17"/>
  <c r="J81" i="17"/>
  <c r="J82" i="17"/>
  <c r="H76" i="17"/>
  <c r="E70" i="17"/>
  <c r="F75" i="17"/>
  <c r="E82" i="17"/>
  <c r="E78" i="17"/>
  <c r="J76" i="17"/>
  <c r="I70" i="17"/>
  <c r="G81" i="17"/>
  <c r="F74" i="17"/>
  <c r="J78" i="17"/>
  <c r="I78" i="17"/>
  <c r="E75" i="17"/>
  <c r="E74" i="17"/>
  <c r="E72" i="17"/>
  <c r="F70" i="17"/>
  <c r="F76" i="17"/>
  <c r="H70" i="17"/>
  <c r="F82" i="17"/>
  <c r="F78" i="17"/>
  <c r="G78" i="17"/>
  <c r="G72" i="17"/>
  <c r="I76" i="17"/>
  <c r="H74" i="17"/>
  <c r="F88" i="17"/>
  <c r="F72" i="17"/>
  <c r="F68" i="17"/>
  <c r="G74" i="17"/>
  <c r="H81" i="17"/>
  <c r="I81" i="17"/>
  <c r="H82" i="17"/>
  <c r="I82" i="17"/>
  <c r="G76" i="17"/>
  <c r="H88" i="17"/>
  <c r="J70" i="17"/>
  <c r="H78" i="17"/>
  <c r="G70" i="17"/>
  <c r="F81" i="17"/>
  <c r="J89" i="17" l="1"/>
  <c r="J62" i="17" s="1"/>
  <c r="I89" i="17"/>
  <c r="I62" i="17" s="1"/>
  <c r="F89" i="17"/>
  <c r="F62" i="17" s="1"/>
  <c r="G89" i="17"/>
  <c r="G62" i="17" s="1"/>
  <c r="E89" i="17"/>
  <c r="E62" i="17" s="1"/>
  <c r="H89" i="17"/>
  <c r="H62" i="17" s="1"/>
</calcChain>
</file>

<file path=xl/sharedStrings.xml><?xml version="1.0" encoding="utf-8"?>
<sst xmlns="http://schemas.openxmlformats.org/spreadsheetml/2006/main" count="2999" uniqueCount="847">
  <si>
    <t>INFO finansieringen av välfärdsområdena</t>
  </si>
  <si>
    <t>Finansministeriet/Kommun- och regionförvaltningsavdelningen 8.12.2020</t>
  </si>
  <si>
    <t>I denna arbetsbok beskrivs uppbyggnaden av finansieringen av välfärdsområdena,</t>
  </si>
  <si>
    <t>på fliken Social- och hälsovårdskostnader som överförs och Kostnader för räddningsväsendet som överförs beräknas de kostnader som överförs per kommun och välfärdsområde, och vilka utgör grunden för finansieringen i hela landet.</t>
  </si>
  <si>
    <t>På fliken Kalkylerad finansiering av social- och hälsovården och Kalkylerad finansiering av räddningsväsendet beräknas den kalkylerade finansieringen av välfärdsområdena i enlighet med kriterierna enligt finansieringslagen och deras andelar.</t>
  </si>
  <si>
    <t>På fliken Sammandrag och ändring jämfört med nuläget sammanställs de kostnader för social - och hälsovården och räddningsväsendet som överförs per välfärdsområde samt den kalkylerade finansieringen av social- och hälsovården och räddningsväsendet per välfärdsområde.</t>
  </si>
  <si>
    <t>Skillnaden mellan den kalkylerade finansieringen och de kostnader som överförs presenteras både som det totala beloppet i euro och som euro per invånare.</t>
  </si>
  <si>
    <t>På fliken Övergångsperiod beskrivs övergångsperioden enligt finansieringslagen per välfärdsområde.</t>
  </si>
  <si>
    <t xml:space="preserve">Landskapsindelningen anges enligt år 2021. Regionindelningen i Nyland stämmer överens med regeringspropositionen. </t>
  </si>
  <si>
    <t>Social- och hälsovårdskostnader som överförs</t>
  </si>
  <si>
    <t>1) De social- och hälsovårdskostnader som överförs beräknas kommunvis.</t>
  </si>
  <si>
    <t>Grunden för beräkningen är social - och hälsovårdskostnaderna enligt kommunernas bokslutsuppgifter för 2018 och 2019</t>
  </si>
  <si>
    <t>Från social - och hälsovårdskostnaderna i kommunernas bokslutsuppgifter för 2018 och 2019 avdras miljö - och hälsoskyddets andel.</t>
  </si>
  <si>
    <t>Man beräknar ett kommunvist medeltal för 2018 och 2019, samt dess andel av medeltalet för hela landet.</t>
  </si>
  <si>
    <t>Det sammanlagda beloppet av kostnaderna för hela landet 2019 höjs med 3,6 procent.</t>
  </si>
  <si>
    <t>De kommunspecifika social- och hälsovårdskostnaderna beräknas enligt nivån för 2020.</t>
  </si>
  <si>
    <t>Arbetsmarknadsstödets belopp för 2019 dras av. På detta sätt fås de slutliga social- och hälsovårdskostnader per kommun som överförs.</t>
  </si>
  <si>
    <t>2) De kommunspecifika social- och hälsovårdskostnader som överförs räknas samman enligt välfärdsområde.</t>
  </si>
  <si>
    <t>1) De social- och hälsovårdskostnader som överförs per kommun</t>
  </si>
  <si>
    <t>2) De social- och hälsovårdskostnader som överförs per välfärdsområde</t>
  </si>
  <si>
    <t>Kommunnummer</t>
  </si>
  <si>
    <t>Kommun</t>
  </si>
  <si>
    <t>Kod för välfärdsområdet</t>
  </si>
  <si>
    <t xml:space="preserve">Social- och hälsovårdskostnader, bokslut 2018 </t>
  </si>
  <si>
    <t xml:space="preserve">Kostnaderna för miljö- och hälsoskyddet, 2018 </t>
  </si>
  <si>
    <t>Social- och hälsovårdskostnader som överförs, 2018</t>
  </si>
  <si>
    <t xml:space="preserve">Social- och hälsovårdskostnader, bokslut 2019 </t>
  </si>
  <si>
    <t xml:space="preserve">Kostnaderna för miljö- och hälsoskyddet, 2019 </t>
  </si>
  <si>
    <t>Social- och hälsovårdskostnader som överförs, 2019</t>
  </si>
  <si>
    <t>Medeltal av de social- och hälsovårdskostnader som överförs 2018 –2019</t>
  </si>
  <si>
    <t>Kommunens andel av medeltalet av de social- och hälsovårdskostnader som överförs i hela landet</t>
  </si>
  <si>
    <t>Social- och hälsovårdskostnader som överförs enligt nivån 2020</t>
  </si>
  <si>
    <t>Arbetsmarknadsstöd, 2019</t>
  </si>
  <si>
    <t>Social- och hälsovårdskostnader som överförs till kalkylen per kommun</t>
  </si>
  <si>
    <t>Välfärdsområde</t>
  </si>
  <si>
    <t>Fastlandsfinland sammanlagt</t>
  </si>
  <si>
    <t>Alajärvi</t>
  </si>
  <si>
    <t>Helsingfors</t>
  </si>
  <si>
    <t>Alavieska</t>
  </si>
  <si>
    <t>Vanda + Kervo</t>
  </si>
  <si>
    <t>Alavo</t>
  </si>
  <si>
    <t>Västra Nyland</t>
  </si>
  <si>
    <t>Asikkala</t>
  </si>
  <si>
    <t>Östra Nyland</t>
  </si>
  <si>
    <t>Askola</t>
  </si>
  <si>
    <t>Mellersta Nyland</t>
  </si>
  <si>
    <t>Aura</t>
  </si>
  <si>
    <t>Egentliga Finland</t>
  </si>
  <si>
    <t>Akaa</t>
  </si>
  <si>
    <t>Satakunta</t>
  </si>
  <si>
    <t>Enonkoski</t>
  </si>
  <si>
    <t>Egentliga Tavastland</t>
  </si>
  <si>
    <t>Enontekis</t>
  </si>
  <si>
    <t>Birkaland</t>
  </si>
  <si>
    <t>Esbo</t>
  </si>
  <si>
    <t>Päijänne-Tavastland</t>
  </si>
  <si>
    <t>Eura</t>
  </si>
  <si>
    <t>Kymmenedalen</t>
  </si>
  <si>
    <t>Euraåminne</t>
  </si>
  <si>
    <t>Södra Karelen</t>
  </si>
  <si>
    <t>Evijärvi</t>
  </si>
  <si>
    <t>Södra Savolax</t>
  </si>
  <si>
    <t>Forssa</t>
  </si>
  <si>
    <t>Norra Savolax</t>
  </si>
  <si>
    <t>Haapajärvi</t>
  </si>
  <si>
    <t>Norra Karelen</t>
  </si>
  <si>
    <t>Haapavesi</t>
  </si>
  <si>
    <t>Mellersta Finland</t>
  </si>
  <si>
    <t>Karlö</t>
  </si>
  <si>
    <t>Södra Österbotten</t>
  </si>
  <si>
    <t>Halso</t>
  </si>
  <si>
    <t>Österbotten</t>
  </si>
  <si>
    <t>Fredrikshamn</t>
  </si>
  <si>
    <t>Mellersta Österbotten</t>
  </si>
  <si>
    <t>Hankasalmi</t>
  </si>
  <si>
    <t>Norra Österbotten</t>
  </si>
  <si>
    <t>Hangö</t>
  </si>
  <si>
    <t>Kajanaland</t>
  </si>
  <si>
    <t>Harjavalta</t>
  </si>
  <si>
    <t>Lappland</t>
  </si>
  <si>
    <t>Gustav Adolfs</t>
  </si>
  <si>
    <t>Hattula</t>
  </si>
  <si>
    <t>Hausjärvi</t>
  </si>
  <si>
    <t>Heinävesi</t>
  </si>
  <si>
    <t>Vanda</t>
  </si>
  <si>
    <t>Hirvensalmi</t>
  </si>
  <si>
    <t>Hollola</t>
  </si>
  <si>
    <t>Honkajoki</t>
  </si>
  <si>
    <t>Vittis</t>
  </si>
  <si>
    <t>Humppila</t>
  </si>
  <si>
    <t>Hyrynsalmi</t>
  </si>
  <si>
    <t>Hyvinge</t>
  </si>
  <si>
    <t>Tavastkyro</t>
  </si>
  <si>
    <t>Tavastehus</t>
  </si>
  <si>
    <t>Heinola</t>
  </si>
  <si>
    <t>Ii</t>
  </si>
  <si>
    <t>Idensalmi</t>
  </si>
  <si>
    <t>Itis</t>
  </si>
  <si>
    <t>Ikalis</t>
  </si>
  <si>
    <t>Ilmajoki</t>
  </si>
  <si>
    <t>Ilomantsi</t>
  </si>
  <si>
    <t>Enare</t>
  </si>
  <si>
    <t>Ingå</t>
  </si>
  <si>
    <t>Storå</t>
  </si>
  <si>
    <t>Storkyro</t>
  </si>
  <si>
    <t>Imatra</t>
  </si>
  <si>
    <t>Janakkala</t>
  </si>
  <si>
    <t>Joensuu</t>
  </si>
  <si>
    <t>Jockis</t>
  </si>
  <si>
    <t>Jorois</t>
  </si>
  <si>
    <t>Joutsa</t>
  </si>
  <si>
    <t>Juga</t>
  </si>
  <si>
    <t>Juupajoki</t>
  </si>
  <si>
    <t>Juva</t>
  </si>
  <si>
    <t>Jyväskylä</t>
  </si>
  <si>
    <t>Jämijärvi</t>
  </si>
  <si>
    <t>Jämsä</t>
  </si>
  <si>
    <t>Träskända</t>
  </si>
  <si>
    <t>S:t Karins</t>
  </si>
  <si>
    <t>Kaavi</t>
  </si>
  <si>
    <t>Kajana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</si>
  <si>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</si>
  <si>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</si>
  <si>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</si>
  <si>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</si>
  <si>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</si>
  <si>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</si>
  <si>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</si>
  <si>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Högfors</t>
  </si>
  <si>
    <t>Karstula</t>
  </si>
  <si>
    <t>Karvia</t>
  </si>
  <si>
    <t>Kaskö</t>
  </si>
  <si>
    <t>Kauhajoki</t>
  </si>
  <si>
    <t>Kauhava</t>
  </si>
  <si>
    <t>Grankulla</t>
  </si>
  <si>
    <t>Kaustby</t>
  </si>
  <si>
    <t>Keitele</t>
  </si>
  <si>
    <t>Kemi</t>
  </si>
  <si>
    <t>Keminmaa</t>
  </si>
  <si>
    <t>Kempele</t>
  </si>
  <si>
    <t>Kervo</t>
  </si>
  <si>
    <t>Keuru</t>
  </si>
  <si>
    <t>Kihniö</t>
  </si>
  <si>
    <t>Kinnula</t>
  </si>
  <si>
    <t>Kyrkslätt</t>
  </si>
  <si>
    <t>Kides</t>
  </si>
  <si>
    <t>Kittilä</t>
  </si>
  <si>
    <t>Kiuruvesi</t>
  </si>
  <si>
    <t>Kivijärvi</t>
  </si>
  <si>
    <t>Kumo</t>
  </si>
  <si>
    <t>Karleby</t>
  </si>
  <si>
    <t>Kolari</t>
  </si>
  <si>
    <t>Konnevesi</t>
  </si>
  <si>
    <t>Kontiolahti</t>
  </si>
  <si>
    <t>Korsnäs</t>
  </si>
  <si>
    <t>Koski</t>
  </si>
  <si>
    <t>Kotka</t>
  </si>
  <si>
    <t>Kouvola</t>
  </si>
  <si>
    <t>Kristinestad</t>
  </si>
  <si>
    <t>Kronoby</t>
  </si>
  <si>
    <t>Kuhmo</t>
  </si>
  <si>
    <t>Kuhmois</t>
  </si>
  <si>
    <t>Kuopio</t>
  </si>
  <si>
    <t>Kuortane</t>
  </si>
  <si>
    <t>Kurikka</t>
  </si>
  <si>
    <t>Gustavs</t>
  </si>
  <si>
    <t>Kuusamo</t>
  </si>
  <si>
    <t>Outokumpu</t>
  </si>
  <si>
    <t>Kyyjärvi</t>
  </si>
  <si>
    <t>Kärkölä</t>
  </si>
  <si>
    <t>Kärsämäki</t>
  </si>
  <si>
    <t>Kemijärvi</t>
  </si>
  <si>
    <t>Kimitoön</t>
  </si>
  <si>
    <t>Lahtis</t>
  </si>
  <si>
    <t>Laihela</t>
  </si>
  <si>
    <t>Letala</t>
  </si>
  <si>
    <t>Lapinlahti</t>
  </si>
  <si>
    <t>Lappajärvi</t>
  </si>
  <si>
    <t>Villmanstrand</t>
  </si>
  <si>
    <t>Lappträsk</t>
  </si>
  <si>
    <t>Lappo</t>
  </si>
  <si>
    <t>Laukaa</t>
  </si>
  <si>
    <t>Lemi</t>
  </si>
  <si>
    <t>Lempäälä</t>
  </si>
  <si>
    <t>Leppävirta</t>
  </si>
  <si>
    <t>Lestijärvi</t>
  </si>
  <si>
    <t>Lieksa</t>
  </si>
  <si>
    <t>Lundo</t>
  </si>
  <si>
    <t>Limingo</t>
  </si>
  <si>
    <t>Libelits</t>
  </si>
  <si>
    <t>Loimaa</t>
  </si>
  <si>
    <t>Loppi</t>
  </si>
  <si>
    <t>Lovisa</t>
  </si>
  <si>
    <t>Luhanka</t>
  </si>
  <si>
    <t>Lumijoki</t>
  </si>
  <si>
    <t>Larsmo</t>
  </si>
  <si>
    <t>Luumäki</t>
  </si>
  <si>
    <t>Lojo</t>
  </si>
  <si>
    <t>Pargas</t>
  </si>
  <si>
    <t>Malax</t>
  </si>
  <si>
    <t>Marttila</t>
  </si>
  <si>
    <t>Masku</t>
  </si>
  <si>
    <t>Merijärvi</t>
  </si>
  <si>
    <t>Sastmola</t>
  </si>
  <si>
    <t>Miehikkälä</t>
  </si>
  <si>
    <t>S:t Michel</t>
  </si>
  <si>
    <t>Muhos</t>
  </si>
  <si>
    <t>Multia</t>
  </si>
  <si>
    <t>Muonio</t>
  </si>
  <si>
    <t>Korsholm</t>
  </si>
  <si>
    <t>Muurame</t>
  </si>
  <si>
    <t>Virmo</t>
  </si>
  <si>
    <t>Mörskom</t>
  </si>
  <si>
    <t>Mäntsälä</t>
  </si>
  <si>
    <t>Mäntyharju</t>
  </si>
  <si>
    <t>Mänttä-Vilppula</t>
  </si>
  <si>
    <t>Nådendal</t>
  </si>
  <si>
    <t>Nakkila</t>
  </si>
  <si>
    <t>Nivala</t>
  </si>
  <si>
    <t>Nokia</t>
  </si>
  <si>
    <t>Nousis</t>
  </si>
  <si>
    <t>Nurmes</t>
  </si>
  <si>
    <t>Nurmijärvi</t>
  </si>
  <si>
    <t>Närpes</t>
  </si>
  <si>
    <t>Orimattila</t>
  </si>
  <si>
    <t>Oripää</t>
  </si>
  <si>
    <t>Orivesi</t>
  </si>
  <si>
    <t>Oulainen</t>
  </si>
  <si>
    <t>Uleåborg</t>
  </si>
  <si>
    <t>Padasjoki</t>
  </si>
  <si>
    <t>Pemar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</si>
  <si>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</si>
  <si>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</si>
  <si>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</si>
  <si>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</si>
  <si>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</si>
  <si>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</si>
  <si>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</si>
  <si>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</si>
  <si>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</si>
  <si>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Jakobstad</t>
  </si>
  <si>
    <t>Pedersöre kommun</t>
  </si>
  <si>
    <t>Pihtipudas</t>
  </si>
  <si>
    <t>Birkala</t>
  </si>
  <si>
    <t>Polvijärvi</t>
  </si>
  <si>
    <t>Påmark</t>
  </si>
  <si>
    <t>Björneborg</t>
  </si>
  <si>
    <t>Borgnäs</t>
  </si>
  <si>
    <t>Posio</t>
  </si>
  <si>
    <t>Pudasjärvi</t>
  </si>
  <si>
    <t>Pukkila</t>
  </si>
  <si>
    <t>Punkalaidun</t>
  </si>
  <si>
    <t>Puolanka</t>
  </si>
  <si>
    <t>Puumala</t>
  </si>
  <si>
    <t>Pyttis</t>
  </si>
  <si>
    <t>Pyhäjoki</t>
  </si>
  <si>
    <t>Pyhäjärvi</t>
  </si>
  <si>
    <t>Pyhäntä</t>
  </si>
  <si>
    <t>Pyhäranta</t>
  </si>
  <si>
    <t>Pälkäne</t>
  </si>
  <si>
    <t>Pöytyä</t>
  </si>
  <si>
    <t>Borgå</t>
  </si>
  <si>
    <t>Brahestad</t>
  </si>
  <si>
    <t>Reso</t>
  </si>
  <si>
    <t>Rantasalmi</t>
  </si>
  <si>
    <t>Ranua</t>
  </si>
  <si>
    <t>Raumo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</si>
  <si>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</si>
  <si>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</si>
  <si>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</si>
  <si>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</si>
  <si>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</si>
  <si>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</si>
  <si>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</si>
  <si>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Ruokolax</t>
  </si>
  <si>
    <t>Ruovesi</t>
  </si>
  <si>
    <t>Rusko</t>
  </si>
  <si>
    <t>Rääkkylä</t>
  </si>
  <si>
    <t>Raseborg</t>
  </si>
  <si>
    <t>Saarijärvi</t>
  </si>
  <si>
    <t>Salla</t>
  </si>
  <si>
    <t>Salo</t>
  </si>
  <si>
    <t>Sagu</t>
  </si>
  <si>
    <t>Savitaipale</t>
  </si>
  <si>
    <t>Nyslott</t>
  </si>
  <si>
    <t>Savukoski</t>
  </si>
  <si>
    <t>Seinäjoki</t>
  </si>
  <si>
    <t>Sievi</t>
  </si>
  <si>
    <t>Siikais</t>
  </si>
  <si>
    <t>Siikajoki</t>
  </si>
  <si>
    <t>Siilinjärvi</t>
  </si>
  <si>
    <t>Simo</t>
  </si>
  <si>
    <t>Sibbo</t>
  </si>
  <si>
    <t>Sjundeå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</si>
  <si>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</si>
  <si>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</si>
  <si>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</si>
  <si>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</si>
  <si>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</si>
  <si>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</si>
  <si>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</si>
  <si>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</si>
  <si>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</si>
  <si>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</si>
  <si>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</si>
  <si>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</si>
  <si>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</si>
  <si>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</si>
  <si>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</si>
  <si>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Tövsala</t>
  </si>
  <si>
    <t>Tammela</t>
  </si>
  <si>
    <t>Tammerfors</t>
  </si>
  <si>
    <t>Tervo</t>
  </si>
  <si>
    <t>Tervola</t>
  </si>
  <si>
    <t>Teuva</t>
  </si>
  <si>
    <t>Tohmajärvi</t>
  </si>
  <si>
    <t>Toholampi</t>
  </si>
  <si>
    <t>Toivakka</t>
  </si>
  <si>
    <t>Torneå</t>
  </si>
  <si>
    <t>Åbo</t>
  </si>
  <si>
    <t>Pello</t>
  </si>
  <si>
    <t>Tuusniemi</t>
  </si>
  <si>
    <t>Tusby</t>
  </si>
  <si>
    <t>Tyrnävä</t>
  </si>
  <si>
    <t>Ulvsby</t>
  </si>
  <si>
    <t>Urjala</t>
  </si>
  <si>
    <t>Utajärvi</t>
  </si>
  <si>
    <t>Utsjoki</t>
  </si>
  <si>
    <t>Uurainen</t>
  </si>
  <si>
    <t>Nykarleby</t>
  </si>
  <si>
    <t>Nystad</t>
  </si>
  <si>
    <t>Vasa</t>
  </si>
  <si>
    <t>Valkeakoski</t>
  </si>
  <si>
    <t>Varkaus</t>
  </si>
  <si>
    <t>Vemo</t>
  </si>
  <si>
    <t>Vesanto</t>
  </si>
  <si>
    <t>Vesilahti</t>
  </si>
  <si>
    <t>Vetil</t>
  </si>
  <si>
    <t>Vieremä</t>
  </si>
  <si>
    <t>Vichtis</t>
  </si>
  <si>
    <t>Viitasaari</t>
  </si>
  <si>
    <t>Vindala</t>
  </si>
  <si>
    <t>Vederlax</t>
  </si>
  <si>
    <t>Virdois</t>
  </si>
  <si>
    <t>Vörå</t>
  </si>
  <si>
    <t>Övertorneå</t>
  </si>
  <si>
    <t>Ylivieska</t>
  </si>
  <si>
    <t>Ylöjärvi</t>
  </si>
  <si>
    <t>Ypäjä</t>
  </si>
  <si>
    <t>Etseri</t>
  </si>
  <si>
    <t>Äänekoski</t>
  </si>
  <si>
    <t>Kostnader för räddningsväsendet som överförs</t>
  </si>
  <si>
    <t>1) De kostnader för räddningsväsendet som överförs beräknas kommunvis.</t>
  </si>
  <si>
    <t>Grunden för beräkningen är räddningsväsendets kostnader enligt kommunernas bokslutsuppgifter för 2018 och 2019</t>
  </si>
  <si>
    <t>Den kommunspecifika kostnaden för räddningsväsendet beräknas enligt nivån för 2020.</t>
  </si>
  <si>
    <t>2) De kommunspecifika överförda kostnaderna för räddningsväsendet räknas ihop enligt välfärdsområde.</t>
  </si>
  <si>
    <t>1) De kostnader för räddningsväsendet som överförs per kommun</t>
  </si>
  <si>
    <t>2) Förflyttade kostnader för räddningsväsendet per välfärdsområde</t>
  </si>
  <si>
    <t xml:space="preserve">Kommunnummer </t>
  </si>
  <si>
    <t xml:space="preserve">Räddningsväsendets kostnader, bokslut 2018 </t>
  </si>
  <si>
    <t xml:space="preserve">Räddningsväsendets kostnader, bokslut 2019 </t>
  </si>
  <si>
    <t>Medeltal av de räddningskostnader som överförs 2018 –2019</t>
  </si>
  <si>
    <t>Kommunens andel av medeltalet av de räddningskostnader som överförs i hela landet</t>
  </si>
  <si>
    <t>Räddningsväsendets kostnader överförs till kalkylen enligt kommun enligt nivån 2020</t>
  </si>
  <si>
    <t>De kostnader för räddningsväsendet som överförs enligt nivån 2020</t>
  </si>
  <si>
    <t>Kalkylerad finansiering av social- och hälsovården</t>
  </si>
  <si>
    <t xml:space="preserve">Den social- och hälsovårdsfinansiering som delas fås från de kostnader som överförs från kommunerna </t>
  </si>
  <si>
    <t>Social- och hälsovårdskostnader som överförs från kommunerna sammanlagt:</t>
  </si>
  <si>
    <t>Befolkningen 2018</t>
  </si>
  <si>
    <t>Kostnaderna per invånare</t>
  </si>
  <si>
    <t>Grundpriser för bestämningsfaktorer</t>
  </si>
  <si>
    <t>Kriterium:</t>
  </si>
  <si>
    <t>Invånarbaserad andel</t>
  </si>
  <si>
    <t>Behovet av social- och hälsovårdstjänster sammanlagt</t>
  </si>
  <si>
    <t>Servicebehovet inom hälso- och sjukvården</t>
  </si>
  <si>
    <t>Servicebehovet inom äldreomsorgen</t>
  </si>
  <si>
    <t>Servicebehovet inom socialvården</t>
  </si>
  <si>
    <t>Inslag av främmandespråkiga</t>
  </si>
  <si>
    <t>Tvåspråkighet</t>
  </si>
  <si>
    <t>Befolkningstäthet</t>
  </si>
  <si>
    <t>Karaktär av skärgård</t>
  </si>
  <si>
    <t>Kriteriet för främjande av hälsa och välfärd</t>
  </si>
  <si>
    <t>Samiskspråkighet</t>
  </si>
  <si>
    <t>Sammanlagt</t>
  </si>
  <si>
    <t>Viktning enligt finansieringslagen för kriterier</t>
  </si>
  <si>
    <t>Finansiering för kriterier sammanlagt:</t>
  </si>
  <si>
    <t>Grundpris för kriteriet:</t>
  </si>
  <si>
    <t>Bestämningsfaktorer och koefficienter (med planhänvisningar)</t>
  </si>
  <si>
    <t>Invånarantal</t>
  </si>
  <si>
    <t>Servicebehovskoefficient för hälso- och sjukvården</t>
  </si>
  <si>
    <t>Servicebehovskoefficient för äldreomsorgen</t>
  </si>
  <si>
    <t>Servicebehovskoefficient för socialvården</t>
  </si>
  <si>
    <t>Antalet personer med främmande språk som modersmål</t>
  </si>
  <si>
    <t>Antalet svenskspråkiga i tvåspråkiga välfärdsområden</t>
  </si>
  <si>
    <t>Befolkningstäthetskoefficient</t>
  </si>
  <si>
    <t>Skärgårdskommunernas oinvånarantal i skärgården</t>
  </si>
  <si>
    <t>Koefficienten för främjande av hälsa och välfärd</t>
  </si>
  <si>
    <t xml:space="preserve">Antalet samiskspråkiga inom välfärdsområdet där kommunerna inom samernas hembygdsområde finns </t>
  </si>
  <si>
    <t>Kalkylerad social- och hälsovårdsfinansiering (hyte-kriteriet enligt kalkylerad koefficient) euro sammanlagt</t>
  </si>
  <si>
    <t>Sammanlagt, €</t>
  </si>
  <si>
    <t>Sammanlagt, €/inv.</t>
  </si>
  <si>
    <t>Andel av social- och hälsovårdsfinansieringen</t>
  </si>
  <si>
    <t>Kalkylerad social- och hälsovårdsfinansiering (hyte-kriteriet enligt kalkylerad koefficient) euro/invånare</t>
  </si>
  <si>
    <t>Sammanlagt, €/inv.2</t>
  </si>
  <si>
    <t>Kalkylerad finansiering (hyte-kriteriet beräknat €/invånare) euro sammanlagt</t>
  </si>
  <si>
    <t>Kalkylerad finansiering (hyte-kriteriet beräknad €/invånare) euro/invånare</t>
  </si>
  <si>
    <t>Kalkylerad finansiering av räddningsväsendet</t>
  </si>
  <si>
    <t xml:space="preserve">Den finansiering av räddningsväsendet som delas fås från de kostnader som överförs från kommunerna </t>
  </si>
  <si>
    <t>Sammanlagda kostnaderna för räddningsväsendet som överförs från kommunerna:</t>
  </si>
  <si>
    <t>Kriterium</t>
  </si>
  <si>
    <t>Viktning enligt finansieringslagen för kriteriet</t>
  </si>
  <si>
    <t>Finansiering för kriteriet sammanlagt:</t>
  </si>
  <si>
    <t>Kalkylerad finansiering av räddningsväsendet, euro sammanlagt</t>
  </si>
  <si>
    <t>Andel av finansieringen av räddningsväsendet</t>
  </si>
  <si>
    <t>Kalkylerad finansiering av räddningsväsendet, euro/invånare</t>
  </si>
  <si>
    <t xml:space="preserve">Sammandrag av finansieringen av välfärdsområdena. </t>
  </si>
  <si>
    <t>Skillnaden mellan den kalkylerade finansieringen och de kostnader som överförs granskas per välfärdsområde.</t>
  </si>
  <si>
    <t>Allmän täckning totalt Ett sammandrag av de kostnader som överförs och den kalkylerade finansieringen för välfärdsområdena samt en ändring mellan den kalkylerade finansieringen och de kostnader som överförs.</t>
  </si>
  <si>
    <t>Kostnader som överförs sammanlagt, €</t>
  </si>
  <si>
    <t>Kostnader som överförs, €/inv.</t>
  </si>
  <si>
    <t>Kalkylerad finansiering sammanlagt (hyte-kriteriet med koefficient) €</t>
  </si>
  <si>
    <t>Förändring mellan den kalkylerade finansieringen och de kostnader som överförs (hyte-kriteriet med koefficient), €</t>
  </si>
  <si>
    <t>Kalkylerad finansiering sammanlagt (hyte-kriteriet med koefficient) €/inv.</t>
  </si>
  <si>
    <t>Förändring mellan den kalkylerade finansieringen och de kostnader som överförs (hyte-kriteriet med koefficient), €/inv.</t>
  </si>
  <si>
    <t>Kalkylerad finansiering sammanlagt (hyte-kriteriet €/inv.) €</t>
  </si>
  <si>
    <t>Förändring mellan den kalkylerade finansieringen och de kostnader som överförs (hyte-kriteriet €/inv.), €</t>
  </si>
  <si>
    <t>Kalkylerad finansiering sammanlagt (hyte-kriteriet €/inv.) €/inv.</t>
  </si>
  <si>
    <t>Förändring mellan den kalkylerade finansieringen och de kostnader som överförs (hyte-kriteriet €/inv.), €/inv.</t>
  </si>
  <si>
    <t>Sammandrag av social- och hälsovårdskostnader som överförs till välfärdsområdena och den kalkylerade social- och hälsovårdsfinansieringen samt ändringen mellan den kalkylerade finansieringen och de kostnader som överförs.</t>
  </si>
  <si>
    <t>Social- och hälsovårdskostnader som överförs, €</t>
  </si>
  <si>
    <t>Social- och hälsovårdskostnader som överförs, €/inv.</t>
  </si>
  <si>
    <t>Kalkylerad social- och hälsovårdsfinansiering (hyte-kriteriet med koefficienten) €</t>
  </si>
  <si>
    <t>Ändringar (hyte-kriteriet med koefficienten) €</t>
  </si>
  <si>
    <t>Ändringar (hyte-kriteriet med koefficienten) €/inv.</t>
  </si>
  <si>
    <t>Kalkylerad - och hälsovårdsfinansiering (hyte-kriteriet €/inv.) €</t>
  </si>
  <si>
    <t>Ändringar (hyte-kriteriet €/inv.) €</t>
  </si>
  <si>
    <t>Ändringar (hyte-kriteriet €/inv.) €/inv.</t>
  </si>
  <si>
    <t>Sammandrag av de kostnader för räddningsväsendet som överförs till välfärdsområdena och den kalkylerade finansieringen av räddningsväsendet samt en ändring mellan den kalkylerade finansieringen och de kostnader som överförs.</t>
  </si>
  <si>
    <t>Kostnader för räddningsväsendet som överförs, €</t>
  </si>
  <si>
    <t>Kostnaderna för räddningsväsendet överförs, €/inv.</t>
  </si>
  <si>
    <t>Kalkylerad finansiering av räddningsväsendet, €</t>
  </si>
  <si>
    <t>Kalkylerad finansiering av räddningsväsendet, €/inv.</t>
  </si>
  <si>
    <t>Ändringar, €</t>
  </si>
  <si>
    <t>Ändringar, €/inv.</t>
  </si>
  <si>
    <t>Sammandrag av den kalkylerade finansieringen av social- och hälsovården och räddningsväsendet inom välfärdsområdet (hyte-kriteriet med koefficienten) euro sammanlagt.</t>
  </si>
  <si>
    <t>Kalkylerad finansiering, sammanlagt €</t>
  </si>
  <si>
    <t>Kalkylerad finansiering, sammanlagt €/inv.</t>
  </si>
  <si>
    <t>Andel av den allmänna finansieringen</t>
  </si>
  <si>
    <t>Sammanfattning av den kalkylerade finansieringen av social- och hälsovården och räddningsväsendet inom välfärdsområdet (hyte-kriteriet med koefficienten) euro/invånare.</t>
  </si>
  <si>
    <t>Andel av finansieringen med allmän täckning</t>
  </si>
  <si>
    <t>Sammandrag av den kalkylerade finansieringen av social- och hälsovården och räddningsväsendet inom välfärdsområdet (hyte-kriteriet beräknad €/invånare) euro sammanlagt.</t>
  </si>
  <si>
    <t>Sammandrag av den kalkylerade finansieringen av social- och hälsovården och räddningsväsendet inom välfärdsområdet (hyte-kriteriet beräknad €/invånare) euro/invånare.</t>
  </si>
  <si>
    <t>Övergångsperioden för finansieringen av välfärdsområdena och övergångsutjämningen i euro</t>
  </si>
  <si>
    <t>Som grund för övergångsutjämningen för välfärdsområdena används skillnaden mellan hela den kalkylerade finansieringen med allmän täckning under ikraftträdandeåret och de kostnader som överförs.</t>
  </si>
  <si>
    <t>Under det år då reformen träder i kraft 2023 begränsas ändringen i förhållande till nuläget till noll euro per invånare.</t>
  </si>
  <si>
    <t>Beloppet av övergångsutjämningen sjunker årligen fram till 2029 varefter 2029 års övergångsutjämningen blir en bestående övergångsutjämning.</t>
  </si>
  <si>
    <t>För åren 2023 –2025 baserar sig beräkningen av övergångsutjämningen på skillnaden mellan den kalkylerade finansiering som välfärdsområdet får (hyte-kriteriet beräknat enligt principen euro per invånare) och de kostnader som överförs.</t>
  </si>
  <si>
    <t>För åren 2026 –2029 baserar sig beräkningen av övergångsutjämningen på skillnaden mellan den kalkylerade finansiering som välfärdsområdet får (hyte-kriteriet beräknat på basis av hyte-koefficienten) och de kostnader som överförs.</t>
  </si>
  <si>
    <t>Kostnader som överförs sammanlagt €</t>
  </si>
  <si>
    <t>Vanda och Kervo</t>
  </si>
  <si>
    <t>Södra Bjälbo</t>
  </si>
  <si>
    <t>Norra Bjälbo</t>
  </si>
  <si>
    <t xml:space="preserve">Övergångsperioden 2023 –2029. Övergångsutjämningens belopp enligt välfärdsområde, euro/invånare. </t>
  </si>
  <si>
    <t>År</t>
  </si>
  <si>
    <t>Övergångsutjämning max euro/invånare</t>
  </si>
  <si>
    <t>Övergångsutjämning min euro/invånare</t>
  </si>
  <si>
    <t>Övergångsperioden 2023 –2029. Beloppet av övergångsutjämningen per välfärdsområde, euro sammanlagt.</t>
  </si>
  <si>
    <t xml:space="preserve">Övergångsutjämning min/max euro/invånare </t>
  </si>
  <si>
    <t xml:space="preserve"> +/- 0 €/inv.</t>
  </si>
  <si>
    <t xml:space="preserve"> +/- 10 €/inv.</t>
  </si>
  <si>
    <t xml:space="preserve"> +/- -30 €/inv.</t>
  </si>
  <si>
    <t xml:space="preserve"> +60 €/inv
/-60€/inv.</t>
  </si>
  <si>
    <t xml:space="preserve"> +90 €/inv.
/-75€/inv.</t>
  </si>
  <si>
    <t xml:space="preserve"> +150 €/inv.
/-90€/inv.</t>
  </si>
  <si>
    <t xml:space="preserve"> +200 €/inv./
-100€/inv.</t>
  </si>
  <si>
    <t>Bestämningsfaktorer för social- och hälsovårdskalkylen enligt välfärdsområde, 2018</t>
  </si>
  <si>
    <t>Antalet samiskspråkiga inom välfärdsområdet där kommunerna inom samernas hembygdsområde finns</t>
  </si>
  <si>
    <t>Landareal, km2</t>
  </si>
  <si>
    <t>Antalet invånare i skärgården i skärgårdskommunerna</t>
  </si>
  <si>
    <t>Bestämningsfaktorer för räddningsväsendets finansieringskalkyl per välfärdsområde</t>
  </si>
  <si>
    <t>Totala landarealen</t>
  </si>
  <si>
    <t>Riskklassificering I</t>
  </si>
  <si>
    <t>Riskklassificering II</t>
  </si>
  <si>
    <t>Riskkl. I + Riskkl. II</t>
  </si>
  <si>
    <t>Vägd summa</t>
  </si>
  <si>
    <t>Riskkoefficient</t>
  </si>
  <si>
    <t>Kommunstorlek</t>
  </si>
  <si>
    <t>Svenskspråkiga</t>
  </si>
  <si>
    <t xml:space="preserve">Samiskspråkiga </t>
  </si>
  <si>
    <t>Främmande språk</t>
  </si>
  <si>
    <t xml:space="preserve">Landareal </t>
  </si>
  <si>
    <t>Samiskspråkiga</t>
  </si>
  <si>
    <t>Landareal</t>
  </si>
  <si>
    <t>Koski tl</t>
  </si>
  <si>
    <t xml:space="preserve">Koefficienten för främjande av hälsa och välfärd </t>
  </si>
  <si>
    <t>Källa THL</t>
  </si>
  <si>
    <t>Invånarantal 2018</t>
  </si>
  <si>
    <t xml:space="preserve">Processindikatorer </t>
  </si>
  <si>
    <t>Resultatindikatorer</t>
  </si>
  <si>
    <t>Medelvärde</t>
  </si>
  <si>
    <t>Vägd hyte-koefficient i finansieringskalkylen</t>
  </si>
  <si>
    <t>Vanda-Kervo</t>
  </si>
  <si>
    <t>Fastlandsfinland</t>
  </si>
  <si>
    <t>medeltal</t>
  </si>
  <si>
    <t>Vägd medelvärde</t>
  </si>
  <si>
    <t>Minimiintervention</t>
  </si>
  <si>
    <t xml:space="preserve">Vaccinationstäckning </t>
  </si>
  <si>
    <t>Inspektioner av arbetslösa</t>
  </si>
  <si>
    <t>Skolpsykolog</t>
  </si>
  <si>
    <t>Skolkurator</t>
  </si>
  <si>
    <t>Skador och förgiftningar</t>
  </si>
  <si>
    <t>Höftfrakturer</t>
  </si>
  <si>
    <t>NEET</t>
  </si>
  <si>
    <t>Utkomststöd</t>
  </si>
  <si>
    <t>Arbetsoförmåga</t>
  </si>
  <si>
    <t>PROCESS. mean</t>
  </si>
  <si>
    <t>RESULTAT. mean</t>
  </si>
  <si>
    <t>Social- och hälsovårdsmedeltal</t>
  </si>
  <si>
    <t>Källa THL 2020</t>
  </si>
  <si>
    <t>Behovsfaktorer inom hälso- och sjukvården och vägda koefficienter per faktor</t>
  </si>
  <si>
    <t>Behovsfaktorer inom äldreomsorgen och vägda koefficienter per faktor</t>
  </si>
  <si>
    <t>Behovsfaktorer inom socialvården och vägda koefficienter per faktor</t>
  </si>
  <si>
    <t>Faktor</t>
  </si>
  <si>
    <t>Förekomst i materialet</t>
  </si>
  <si>
    <t>Frekvens</t>
  </si>
  <si>
    <t>Regressionskoefficient</t>
  </si>
  <si>
    <t>Estimering* frekvens</t>
  </si>
  <si>
    <t>Viktad koefficient</t>
  </si>
  <si>
    <t>Vägd koefficient</t>
  </si>
  <si>
    <t>Konstant</t>
  </si>
  <si>
    <t xml:space="preserve">  Ålder 0–1 år</t>
  </si>
  <si>
    <t xml:space="preserve">  Ålder 75–84 år</t>
  </si>
  <si>
    <t xml:space="preserve">  Ålder 0–6 år</t>
  </si>
  <si>
    <t xml:space="preserve">  Ålder 2–6 år</t>
  </si>
  <si>
    <t xml:space="preserve">  Ålder 85 –89</t>
  </si>
  <si>
    <t xml:space="preserve">  Ålder 7-17</t>
  </si>
  <si>
    <t xml:space="preserve">  Ålder över 89 år</t>
  </si>
  <si>
    <t xml:space="preserve">  Ålder 18–25 år</t>
  </si>
  <si>
    <t>Diabetes</t>
  </si>
  <si>
    <t xml:space="preserve">  Ålder 26–39 år</t>
  </si>
  <si>
    <t>Minnessjukdomar och Alzheimers sjukdom</t>
  </si>
  <si>
    <t xml:space="preserve">  Ålder 55–64 år</t>
  </si>
  <si>
    <t>Missbruksproblem</t>
  </si>
  <si>
    <t xml:space="preserve">  Ålder 65–74 år</t>
  </si>
  <si>
    <t>Psykossjukdomar och bipolärt syndrom</t>
  </si>
  <si>
    <t xml:space="preserve">  Ålder över 74 år</t>
  </si>
  <si>
    <t>Depressions- och ångestsyndrom</t>
  </si>
  <si>
    <t xml:space="preserve">  Ålder 85–89 år</t>
  </si>
  <si>
    <t>Degenerativa hjärnsjukdomar, andra än demenssjukdomar och Parkinsons sjukdom</t>
  </si>
  <si>
    <t xml:space="preserve"> Ålder över 89 år</t>
  </si>
  <si>
    <t>Andningsförlamning</t>
  </si>
  <si>
    <t>Intellektuell funktionsnedsättning</t>
  </si>
  <si>
    <t>Kvinna</t>
  </si>
  <si>
    <t>Parkinsons sjukdom</t>
  </si>
  <si>
    <t>Genomgripande utvecklingsstörningar (”autismispektrum”)</t>
  </si>
  <si>
    <t>Kvinnosjukdomar</t>
  </si>
  <si>
    <t>Epilepsi</t>
  </si>
  <si>
    <t>Uppmärksamhets- och beteendestörningar</t>
  </si>
  <si>
    <t>HIV, hepatit C</t>
  </si>
  <si>
    <t xml:space="preserve">Hjärtsvikt </t>
  </si>
  <si>
    <t>Tuberkulos</t>
  </si>
  <si>
    <t>Hjärninfarkt</t>
  </si>
  <si>
    <t>Cancer</t>
  </si>
  <si>
    <t>Kroniska sår</t>
  </si>
  <si>
    <t>Hypotyreos</t>
  </si>
  <si>
    <t xml:space="preserve">Lunginflammation  </t>
  </si>
  <si>
    <t xml:space="preserve">Kronisk funktionsnedsättning i andningsorganen </t>
  </si>
  <si>
    <t>CP-syndrom</t>
  </si>
  <si>
    <t xml:space="preserve">Ledgångsreumatism </t>
  </si>
  <si>
    <t>Opioidberoende</t>
  </si>
  <si>
    <t>Höftfraktur</t>
  </si>
  <si>
    <t>Synskada</t>
  </si>
  <si>
    <t>Rökning</t>
  </si>
  <si>
    <t>Sjukpensionär, under 55 år</t>
  </si>
  <si>
    <t>Hushållens inkomster per konsumtionsenhet, In</t>
  </si>
  <si>
    <t>Sjukpensionär, över 54 år</t>
  </si>
  <si>
    <t>Klient inom det grundläggande utkomststödet</t>
  </si>
  <si>
    <t xml:space="preserve">  Ogift</t>
  </si>
  <si>
    <t>Ätstörningar</t>
  </si>
  <si>
    <t>Ensamboende *</t>
  </si>
  <si>
    <t xml:space="preserve">  Högsta utbildning lägsta nivån </t>
  </si>
  <si>
    <t>Sömnstörningar</t>
  </si>
  <si>
    <t>Log inkomst</t>
  </si>
  <si>
    <t>Personlighetsstörningar</t>
  </si>
  <si>
    <t>Observationer</t>
  </si>
  <si>
    <t>Inlärningssvårigheter</t>
  </si>
  <si>
    <t>r2</t>
  </si>
  <si>
    <t>Jämförelsekostnader</t>
  </si>
  <si>
    <t>Befolkningen</t>
  </si>
  <si>
    <t xml:space="preserve">Genomsnittlig kostnad per invånare </t>
  </si>
  <si>
    <t>Sömnapné</t>
  </si>
  <si>
    <t>Allergisk ögoninflammation + allergisk snuva</t>
  </si>
  <si>
    <t>Degenerativa ögonsjukdomar</t>
  </si>
  <si>
    <t>Glaukom</t>
  </si>
  <si>
    <t>Blodtryckssjukdom</t>
  </si>
  <si>
    <t>Koronarkärlssjukdom</t>
  </si>
  <si>
    <t>Förmaksflimmer</t>
  </si>
  <si>
    <t>Ateroskleros</t>
  </si>
  <si>
    <t>Astma och KOL (COPD)</t>
  </si>
  <si>
    <t>Gastroenterologi</t>
  </si>
  <si>
    <t>Crohns sjukdom och ulcerös kolit</t>
  </si>
  <si>
    <t>Atopiskt eksem</t>
  </si>
  <si>
    <t>Hudpsoriasis</t>
  </si>
  <si>
    <t>Artrossjukdomar</t>
  </si>
  <si>
    <t>Axelbesvär</t>
  </si>
  <si>
    <t>Ryggsjukdomar och benskörhet</t>
  </si>
  <si>
    <t>Njurinsufficiens</t>
  </si>
  <si>
    <t>Förlossning</t>
  </si>
  <si>
    <t>Graviditet</t>
  </si>
  <si>
    <t>Graviditetstid (2:a potensen)</t>
  </si>
  <si>
    <t>Antal sjukdomar</t>
  </si>
  <si>
    <t>Antal sjukdomar (2:a potensen)</t>
  </si>
  <si>
    <t>Gift</t>
  </si>
  <si>
    <t>Frånskild</t>
  </si>
  <si>
    <t>Efterlevande make</t>
  </si>
  <si>
    <t>Inkomster</t>
  </si>
  <si>
    <t>Inkomster (2:a potensen)</t>
  </si>
  <si>
    <t>Inkomster (3:e potensen)</t>
  </si>
  <si>
    <t>Ensamboende 75-84 år</t>
  </si>
  <si>
    <t>Ensamboende 85-89 år</t>
  </si>
  <si>
    <t>Ensamboende fyllt 90 år</t>
  </si>
  <si>
    <t>Andra stadiet</t>
  </si>
  <si>
    <t>Högskoleexamen</t>
  </si>
  <si>
    <t>OECD</t>
  </si>
  <si>
    <t xml:space="preserve"> Mellanöstern</t>
  </si>
  <si>
    <t>Östeuropa</t>
  </si>
  <si>
    <t>Asien</t>
  </si>
  <si>
    <t xml:space="preserve"> Annat land</t>
  </si>
  <si>
    <t xml:space="preserve">Restid till jouren </t>
  </si>
  <si>
    <t>Restid till jouren (2: a potensen)</t>
  </si>
  <si>
    <t>Familj med en vuxen</t>
  </si>
  <si>
    <t>Förvärvsarbetande</t>
  </si>
  <si>
    <t>Beväring</t>
  </si>
  <si>
    <t>Studerande</t>
  </si>
  <si>
    <t>Kostnader för läkemedel som ersätts av FPA</t>
  </si>
  <si>
    <t xml:space="preserve">Kostnader för privata öppenvårdstjänster som ersätts av FPA (exkl. tandvård) </t>
  </si>
  <si>
    <t xml:space="preserve">Kostnader för tandvård som ersätts av FPA 
</t>
  </si>
  <si>
    <t>Arbetspension, under 55 år</t>
  </si>
  <si>
    <t>Arbetspension, 55-64 år</t>
  </si>
  <si>
    <t>Neutraliserbara parametrar</t>
  </si>
  <si>
    <t>Medelvärde/volym för landet</t>
  </si>
  <si>
    <t xml:space="preserve">Restiden till jouren inom specialiserad sjukvård </t>
  </si>
  <si>
    <t>Restiden till jouren inom specialiserad sjukvård (2: a potensen)</t>
  </si>
  <si>
    <t>Behovskoefficienter för hälso- och sjukvården, äldreomsorgen och socialvården per välfärdsområde</t>
  </si>
  <si>
    <t>Hälsovårdens sektorsvikt</t>
  </si>
  <si>
    <t>Äldrevårdens sektorsvikt</t>
  </si>
  <si>
    <t>Socialvårdens sektorsvikt</t>
  </si>
  <si>
    <t>Behovskoefficient för hälsovård</t>
  </si>
  <si>
    <t>Behovskoefficient för äldrevård</t>
  </si>
  <si>
    <t>Behovskoefficient för socialvård</t>
  </si>
  <si>
    <t>Behovskoefficient för hälsovården vägd med invånarantalet 2018</t>
  </si>
  <si>
    <t>Behovskoefficienten för äldrevården vägd med invånarantalet 2018</t>
  </si>
  <si>
    <t>Behovskoefficient för socialvård vägd med invånarantalet 2018</t>
  </si>
  <si>
    <t>Servicebehovskoefficient för hälsovård som används vid beräkningen</t>
  </si>
  <si>
    <t>Servicebehovskoefficient för äldrevård som används vid beräkningen</t>
  </si>
  <si>
    <t>Servicebehovskoefficient för socialvård som används vid beräkningen</t>
  </si>
  <si>
    <t>Servicebehovskoefficient sammanlagt</t>
  </si>
  <si>
    <t>KOMMUNALEKONOMIN TOTALT (kommuner + samkommuner) driftsekonomin Område, utgifts-/avkastningsslag, Uppgift och År 2018 som variabler</t>
  </si>
  <si>
    <t>Kommunernas driftsekonomi variabler Område, utgifts-/avkastningsslag, Uppgift och År 2018 som variabler</t>
  </si>
  <si>
    <t>Samkommunernas driftsekonomi Område, utgifts-/avkastningsslag, Uppgift och År 2018 som variabler</t>
  </si>
  <si>
    <t>Äldrevård</t>
  </si>
  <si>
    <t>Hälsovård</t>
  </si>
  <si>
    <t>Den kommunala ekonomin på fastlandet sammanlagt</t>
  </si>
  <si>
    <t>Social- och hälsovården sammanlagt</t>
  </si>
  <si>
    <t>Allmän förvaltning</t>
  </si>
  <si>
    <t>Institutions- och familjevård inom barnskydd</t>
  </si>
  <si>
    <t>Öppen vård inom barnskyddet</t>
  </si>
  <si>
    <t>Annan barn- och familjevård</t>
  </si>
  <si>
    <t>Institutionsvård för äldre</t>
  </si>
  <si>
    <t>Boendeservice inom heldygnsomsorgen för äldre</t>
  </si>
  <si>
    <t>Övrig äldreservice</t>
  </si>
  <si>
    <t>Institutionsvård för personer med funktionsnedsättning</t>
  </si>
  <si>
    <t>Boendeservice inom heldygnsomsorgen för personer med funktionsnedsättning</t>
  </si>
  <si>
    <t>Övrig service för personer med funktionsnedsättning</t>
  </si>
  <si>
    <t>Hemvård</t>
  </si>
  <si>
    <t>Sysselsättningsfrämjande service</t>
  </si>
  <si>
    <t>Särskild service inom missbrukarvården</t>
  </si>
  <si>
    <t>Öppenvård inom primärvården</t>
  </si>
  <si>
    <t>Mun- och tandvård</t>
  </si>
  <si>
    <t>Vårdavdelningsvård inom primärvården</t>
  </si>
  <si>
    <t>Specialiserad sjukvård</t>
  </si>
  <si>
    <t>Miljö- och hälsoskydd</t>
  </si>
  <si>
    <t>Övrig social- och hälsovård</t>
  </si>
  <si>
    <t>Småbarnspedagogik</t>
  </si>
  <si>
    <t>Förskoleundervisning</t>
  </si>
  <si>
    <t>Grundläggande utbildning</t>
  </si>
  <si>
    <t>Gymnasieutbildning</t>
  </si>
  <si>
    <t>Yrkesutbildning</t>
  </si>
  <si>
    <t>Fritt bildningsarbete vid medborgarinstitut</t>
  </si>
  <si>
    <t>Grundläggande konstundervisning</t>
  </si>
  <si>
    <t>Övrig undervisningsverksamhet</t>
  </si>
  <si>
    <t>Biblioteksverksamhet</t>
  </si>
  <si>
    <t>Idrott och friluftsliv</t>
  </si>
  <si>
    <t>Ungdomsverksamhet</t>
  </si>
  <si>
    <t>Musei- och utställningsverksamhet</t>
  </si>
  <si>
    <t>Teater-, dans- och cirkusverksamhet</t>
  </si>
  <si>
    <t>Musikverksamhet</t>
  </si>
  <si>
    <t>Övrig kulturverksamhet</t>
  </si>
  <si>
    <t>Undervisnings- och kulturverksamhet sammanlagt</t>
  </si>
  <si>
    <t>Samhällsplanering</t>
  </si>
  <si>
    <t>Byggnadstillsyn</t>
  </si>
  <si>
    <t>Miljövård</t>
  </si>
  <si>
    <t>Trafikleder</t>
  </si>
  <si>
    <t>Parker och allmänna områden</t>
  </si>
  <si>
    <t>Brand- och räddningsverksamhet</t>
  </si>
  <si>
    <t>Avbytarservice</t>
  </si>
  <si>
    <t>Byggnader och lokaler samt uthyrning</t>
  </si>
  <si>
    <t>Stödtjänster</t>
  </si>
  <si>
    <t>Främjande av näringslivet</t>
  </si>
  <si>
    <t>Vattentjänster</t>
  </si>
  <si>
    <t>Energiförsörjning</t>
  </si>
  <si>
    <t>Avfallshantering</t>
  </si>
  <si>
    <t>Kollektivtrafik</t>
  </si>
  <si>
    <t>Hamnverksamhet</t>
  </si>
  <si>
    <t>Jord- och skogsbrukslägenheter</t>
  </si>
  <si>
    <t>Annan verksamhet</t>
  </si>
  <si>
    <t>Driftsekonomi sammanlagt</t>
  </si>
  <si>
    <t>Fastlandsfinlands kommuner sammanlagt</t>
  </si>
  <si>
    <t>Samkommunerna på fastlandet sammanlagt</t>
  </si>
  <si>
    <t>Löner och arvoden</t>
  </si>
  <si>
    <t>Pensionskostnader</t>
  </si>
  <si>
    <t>Övriga lönebikostnader</t>
  </si>
  <si>
    <t>Köp av kundtjänster</t>
  </si>
  <si>
    <t>.</t>
  </si>
  <si>
    <t>Köp av kundtjänster från staten</t>
  </si>
  <si>
    <t>Köp av kundtjänster från kommunerna</t>
  </si>
  <si>
    <t>Köp av kundtjänster från samkommuner</t>
  </si>
  <si>
    <t>Köp av kundtjänster från andra</t>
  </si>
  <si>
    <t>Köp av övriga tjänster</t>
  </si>
  <si>
    <t>Material, förnödenheter och varor</t>
  </si>
  <si>
    <t>Understöd</t>
  </si>
  <si>
    <t>Hyreskostnader, externa</t>
  </si>
  <si>
    <t>Hyreskostnader, interna</t>
  </si>
  <si>
    <t>Andra kostnader</t>
  </si>
  <si>
    <t>Omkostnader sammanlagt</t>
  </si>
  <si>
    <t>Av omkomstnaderna: Interna kostnader sammanlagt</t>
  </si>
  <si>
    <t>Avskrivningar och nedskrivningar</t>
  </si>
  <si>
    <t>Överrullningskostnader</t>
  </si>
  <si>
    <t>Mervärdesskatt på retursystem</t>
  </si>
  <si>
    <t>AVKASTNINGSSLAG</t>
  </si>
  <si>
    <t>Försäljningsintäkter från staten</t>
  </si>
  <si>
    <t>Försäljningsintäkter från kommunerna</t>
  </si>
  <si>
    <t>Försäljningsintäkter från samkommuner</t>
  </si>
  <si>
    <t>Försäljningsintäkter från andra</t>
  </si>
  <si>
    <t>Interna försäljningsintäkter</t>
  </si>
  <si>
    <t>Avgiftsintäkter</t>
  </si>
  <si>
    <t>Understöd och bidrag:</t>
  </si>
  <si>
    <t>Sysselsättningsstöd</t>
  </si>
  <si>
    <t>Övriga stöd och understöd från staten</t>
  </si>
  <si>
    <t>Stöd och understöd från kommuner och samkommuner</t>
  </si>
  <si>
    <t>Stöd och understöd från socialskyddsfonderna (bl.a. FPA)</t>
  </si>
  <si>
    <t>Stöd och bidrag från Europeiska unionen</t>
  </si>
  <si>
    <t>Stöd och bidrag från andra</t>
  </si>
  <si>
    <t>Hyresintäkter, externa</t>
  </si>
  <si>
    <t>Hyresintäkter, interna</t>
  </si>
  <si>
    <t>Andra intäkter</t>
  </si>
  <si>
    <t>Verksamhetsintäkter totalt *)</t>
  </si>
  <si>
    <t>Av verksamhetsintäkterna: Interna intäkter sammanlagt</t>
  </si>
  <si>
    <t>Förändring av produktlager</t>
  </si>
  <si>
    <t>Tillverkning för eget bruk</t>
  </si>
  <si>
    <t>Överrullningsintäkter</t>
  </si>
  <si>
    <t>Driftskostnader</t>
  </si>
  <si>
    <t>Driftsintäkter</t>
  </si>
  <si>
    <t>Nettokostnader</t>
  </si>
  <si>
    <t>Statistikcentralens definition:</t>
  </si>
  <si>
    <t>Sektorspecifika nettokostnader</t>
  </si>
  <si>
    <t>Euro sammanlagt</t>
  </si>
  <si>
    <t>Relativa andelar</t>
  </si>
  <si>
    <t>Hälso- och sjukvård</t>
  </si>
  <si>
    <t>Äldreomsorg</t>
  </si>
  <si>
    <t>Socialvården</t>
  </si>
  <si>
    <t>Hemvården delas</t>
  </si>
  <si>
    <t>1 027 029</t>
  </si>
  <si>
    <t xml:space="preserve"> - äldrevård 90%</t>
  </si>
  <si>
    <t xml:space="preserve"> - SOS 10%</t>
  </si>
  <si>
    <t>Sysselsättningsfrämjande tjänster, från vilket dras av</t>
  </si>
  <si>
    <t>källa: SC 2018</t>
  </si>
  <si>
    <t>Kommunernas finansieringsandel</t>
  </si>
  <si>
    <t>källa: utfall 2019</t>
  </si>
  <si>
    <t>källa: TK 2018</t>
  </si>
  <si>
    <t>Kalkylerad finansiering, sammanlagt €/inv.2</t>
  </si>
  <si>
    <t>2023</t>
  </si>
  <si>
    <t>2024</t>
  </si>
  <si>
    <t>2025</t>
  </si>
  <si>
    <t>2026</t>
  </si>
  <si>
    <t>2027</t>
  </si>
  <si>
    <t>2 028</t>
  </si>
  <si>
    <t>2029</t>
  </si>
  <si>
    <t>Sammanlagt2</t>
  </si>
  <si>
    <r>
      <rPr>
        <b/>
        <sz val="12"/>
        <color rgb="FF000000"/>
        <rFont val="Arial Narrow"/>
        <family val="2"/>
        <scheme val="major"/>
      </rPr>
      <t>Driftskostnader</t>
    </r>
    <r>
      <rPr>
        <sz val="12"/>
        <color rgb="FF000000"/>
        <rFont val="Arial Narrow"/>
        <family val="2"/>
        <scheme val="major"/>
      </rPr>
      <t xml:space="preserve"> t = driftskostnader sammanlagt + avskrivningar och nedskrivningar + övervältringskostnader</t>
    </r>
  </si>
  <si>
    <r>
      <rPr>
        <b/>
        <sz val="12"/>
        <color rgb="FF000000"/>
        <rFont val="Arial Narrow"/>
        <family val="2"/>
        <scheme val="major"/>
      </rPr>
      <t>Driftsintäkter</t>
    </r>
    <r>
      <rPr>
        <sz val="12"/>
        <color rgb="FF000000"/>
        <rFont val="Arial Narrow"/>
        <family val="2"/>
        <scheme val="major"/>
      </rPr>
      <t xml:space="preserve"> = verksamhetsintäkter sammanlagt + ändring av beredningslagren + tillverkning för eget bruk + överbryggningsintäkter</t>
    </r>
  </si>
  <si>
    <t>Källa</t>
  </si>
  <si>
    <t>Bestämningsfaktorer enligt välfärdsområde</t>
  </si>
  <si>
    <t>Bestämningsfaktorer kommunvis</t>
  </si>
  <si>
    <t xml:space="preserve">Regressionskoefficienter för behovsfaktorerna inom hälsovård, äldreomsorg och socialvård, frekvenser och viktade koefficienter </t>
  </si>
  <si>
    <t>Utöver detta beaktas</t>
  </si>
  <si>
    <r>
      <t xml:space="preserve">Grunden för finansieringen av social- och hälsovårdsuppgifterna är kommunernas social- och hälsovårdskostnader som överförs till ett belopp av sammanlagt </t>
    </r>
    <r>
      <rPr>
        <b/>
        <sz val="12"/>
        <rFont val="Arial Narrow"/>
        <family val="2"/>
      </rPr>
      <t>ca 19,4 miljarder euro</t>
    </r>
    <r>
      <rPr>
        <sz val="12"/>
        <rFont val="Arial Narrow"/>
        <family val="2"/>
      </rPr>
      <t xml:space="preserve">. </t>
    </r>
  </si>
  <si>
    <t>Bestämningsfaktorerna för den kalkylerade finansieringen av social- och hälsovårdsuppgifter är invånarunderlaget, behovet för social- och hälsovårdstjänster (som består av servicebehov inom hälso- och sjukvården, äldreomsorgen och socialvården), inslaget av personer med ett främmande språk som modersmål, tvåspråkigheten, befolkningstätheten, karaktären av skärgård och samiskspråkigheten.</t>
  </si>
  <si>
    <t>Den kalkylerade finansieringen har presenterats så att en av bestämningsfaktorerna är främjandet av hälsa och välfärd (hyte), dvs. hyte-koefficienten.</t>
  </si>
  <si>
    <t xml:space="preserve">Hyte-kriteriet inkluderas i finansieringen med euro per invånare-principen under åren 2023-2025. </t>
  </si>
  <si>
    <t>Avsikten är att koefficienten för främjande av hälsa och välfärd ska inkluderas i välfärdsområdenas kalkylerade finansiering från och med 2026.</t>
  </si>
  <si>
    <t>som fördelas enligt bokslutsandelar, se flik med sektorsvikter</t>
  </si>
  <si>
    <r>
      <t xml:space="preserve">Grunden för finansieringen av räddningsväsendet är de kostnader för räddningsväsendet som överförs från kommunerna till ett belopp av </t>
    </r>
    <r>
      <rPr>
        <b/>
        <sz val="12"/>
        <color theme="1"/>
        <rFont val="Arial Narrow"/>
        <family val="2"/>
      </rPr>
      <t>ca 458 miljoner euro</t>
    </r>
    <r>
      <rPr>
        <sz val="12"/>
        <color theme="1"/>
        <rFont val="Arial Narrow"/>
        <family val="2"/>
      </rPr>
      <t>.</t>
    </r>
  </si>
  <si>
    <t>Om förändringen är negativ, är den kalkylerade finansieringen av välfärdsområdet lägre än de sammanlagda kostnader som överförs från kommunerna i välfärdsområdet.</t>
  </si>
  <si>
    <t>Om förändringen är positiv, är den kalkylerade finansieringen av välfärdsområdet högre än de sammanlagda kostnader som överförs från välfärdsområdets kommuner.</t>
  </si>
  <si>
    <t>Välfärdsområdets kalkylerade finansiering med allmän täckning presenteras enligt kriterier både i euro och i euro per invånare, varvid uppkomsten av välfärdsområdets kalkylerade finansiering kan granskas utifrån olika faktorer.</t>
  </si>
  <si>
    <t>Ålder 0–1 år</t>
  </si>
  <si>
    <t>Ålder 2–6 år</t>
  </si>
  <si>
    <t>Ålder 18–25 år</t>
  </si>
  <si>
    <t>Ålder 7-17 år</t>
  </si>
  <si>
    <t>Ålder 26–39 år</t>
  </si>
  <si>
    <t>Ålder 40-54 (referens i modellerna för hälsovård och socialvård)</t>
  </si>
  <si>
    <t>Bestämningsfaktorerna för den kalkylerade finansieringen av räddningsväsendet är invånarunderlag, befolkningstäthet och riskfaktor för räddningsväsendet.</t>
  </si>
  <si>
    <t xml:space="preserve">Riskfaktorer </t>
  </si>
  <si>
    <t>Riskfaktorer</t>
  </si>
  <si>
    <t>Riskfaktorer inom räddningsväsendet</t>
  </si>
  <si>
    <t>Ålder 55–64 år</t>
  </si>
  <si>
    <t>Ålder 65–74 år</t>
  </si>
  <si>
    <t>Ålder 75–84 år</t>
  </si>
  <si>
    <t>Ålder 85–89 år</t>
  </si>
  <si>
    <t>Ålder över 89 år</t>
  </si>
  <si>
    <t>Graviditetstid2</t>
  </si>
  <si>
    <t>Förvärvsarbetande i slutet av året</t>
  </si>
  <si>
    <t>Ogift</t>
  </si>
  <si>
    <t>Utbildning: Andra stadiet</t>
  </si>
  <si>
    <t>Utbildning: Högskoleexamen</t>
  </si>
  <si>
    <t>Hushållens inkomster per konsumtionsenhet</t>
  </si>
  <si>
    <t>Inkomster2/106</t>
  </si>
  <si>
    <t>Inkomster3/109</t>
  </si>
  <si>
    <t>Mellanöstern</t>
  </si>
  <si>
    <t>Annat land</t>
  </si>
  <si>
    <t>Kostnader för privata öppenvårdstjänster som ersätts av FPA</t>
  </si>
  <si>
    <t>Restid till jouren2</t>
  </si>
  <si>
    <t>OECD-länder</t>
  </si>
  <si>
    <t>Variabel</t>
  </si>
  <si>
    <t>Medelvärden av variablerna inom hälsovården enligt välfärdsområde</t>
  </si>
  <si>
    <t>Ålder 65-74 år</t>
  </si>
  <si>
    <t>Ålder 85 –89</t>
  </si>
  <si>
    <t>Ensamboende eller bor på anläggning</t>
  </si>
  <si>
    <t>Över 64-åringar på området</t>
  </si>
  <si>
    <t>Medelvärden av variablerna inom äldreomsorgen enligt välfärdsområde</t>
  </si>
  <si>
    <t>Ålder 0–6 år</t>
  </si>
  <si>
    <t>Ålder 40-54 år</t>
  </si>
  <si>
    <t>Ålder över 74 år</t>
  </si>
  <si>
    <t xml:space="preserve">Utbildning: lägsta nivån </t>
  </si>
  <si>
    <t>Medelvärden av variablerna inom socialvårde enligt välfärdsområde</t>
  </si>
  <si>
    <t>Sektorsvikter för hälsovård, äldreomsorg och socialvård enligt bokslutsuppgifter från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</si>
</sst>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-* #,##0.00\ _€_-;\-* #,##0.00\ _€_-;_-* &quot;-&quot;??\ _€_-;_-@_-"/>
    <numFmt numFmtId="165" formatCode="#,##0.0000_ ;[Red]\-#,##0.0000\ "/>
    <numFmt numFmtId="166" formatCode="#,##0.0"/>
    <numFmt numFmtId="167" formatCode="0.0"/>
    <numFmt numFmtId="168" formatCode="#,##0.00_ ;[Red]\-#,##0.00\ "/>
    <numFmt numFmtId="169" formatCode="#,##0.00000_ ;[Red]\-#,##0.00000\ "/>
    <numFmt numFmtId="170" formatCode="#,##0_ ;[Red]\-#,##0\ "/>
    <numFmt numFmtId="171" formatCode="#,##0.000"/>
    <numFmt numFmtId="172" formatCode="#,##0.0000"/>
    <numFmt numFmtId="173" formatCode="0.0000"/>
    <numFmt numFmtId="174" formatCode="0.000"/>
    <numFmt numFmtId="175" formatCode="0.000\ %"/>
    <numFmt numFmtId="176" formatCode="0.0\ %"/>
    <numFmt numFmtId="177" formatCode="0.00000\ %"/>
    <numFmt numFmtId="178" formatCode="0.0000\ %"/>
    <numFmt numFmtId="179" formatCode="0_ ;[Red]\-0\ "/>
    <numFmt numFmtId="180" formatCode="#,##0.000_ ;[Red]\-#,##0.000\ "/>
    <numFmt numFmtId="181" formatCode="#,##0.000000000_ ;[Red]\-#,##0.000000000\ "/>
    <numFmt numFmtId="182" formatCode="0.00000000000"/>
    <numFmt numFmtId="183" formatCode="#,##0.00000000000000"/>
    <numFmt numFmtId="184" formatCode="#,##0.0000000000"/>
    <numFmt numFmtId="185" formatCode="#,##0.00000000000"/>
    <numFmt numFmtId="186" formatCode="0.00000000000000_ ;[Red]\-0.00000000000000\ "/>
    <numFmt numFmtId="187" formatCode="0.000000"/>
  </numFmts>
  <fonts count="4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i/>
      <sz val="12"/>
      <color theme="1"/>
      <name val="Arial Narrow"/>
      <family val="2"/>
    </font>
    <font>
      <sz val="12"/>
      <color theme="0"/>
      <name val="Arial Narrow"/>
      <family val="2"/>
    </font>
    <font>
      <i/>
      <sz val="12"/>
      <name val="Arial Narrow"/>
      <family val="2"/>
    </font>
    <font>
      <sz val="12"/>
      <color theme="0" tint="-0.249977111117893"/>
      <name val="Arial Narrow"/>
      <family val="2"/>
    </font>
    <font>
      <sz val="12"/>
      <color rgb="FFFF0000"/>
      <name val="Arial Narrow"/>
      <family val="2"/>
    </font>
    <font>
      <b/>
      <sz val="12"/>
      <color theme="0" tint="-0.249977111117893"/>
      <name val="Arial Narrow"/>
      <family val="2"/>
    </font>
    <font>
      <sz val="12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  <font>
      <sz val="12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8"/>
      <name val="Arial Narrow"/>
      <family val="2"/>
      <scheme val="major"/>
    </font>
    <font>
      <sz val="8"/>
      <color rgb="FFFF0000"/>
      <name val="Arial Narrow"/>
      <family val="2"/>
      <scheme val="major"/>
    </font>
    <font>
      <b/>
      <sz val="12"/>
      <name val="Arial Narrow"/>
      <family val="2"/>
      <scheme val="major"/>
    </font>
    <font>
      <b/>
      <sz val="12"/>
      <color rgb="FFFF0000"/>
      <name val="Arial Narrow"/>
      <family val="2"/>
      <scheme val="major"/>
    </font>
    <font>
      <sz val="12"/>
      <color rgb="FFFF0000"/>
      <name val="Arial Narrow"/>
      <family val="2"/>
      <scheme val="major"/>
    </font>
    <font>
      <sz val="12"/>
      <name val="Arial Narrow"/>
      <family val="2"/>
      <scheme val="major"/>
    </font>
    <font>
      <b/>
      <sz val="12"/>
      <color theme="1"/>
      <name val="Arial Narrow"/>
      <family val="2"/>
      <scheme val="major"/>
    </font>
    <font>
      <sz val="12"/>
      <color theme="1"/>
      <name val="Arial Narrow"/>
      <family val="2"/>
      <scheme val="major"/>
    </font>
    <font>
      <b/>
      <sz val="12"/>
      <color theme="0"/>
      <name val="Arial Narrow"/>
      <family val="2"/>
      <scheme val="major"/>
    </font>
    <font>
      <b/>
      <sz val="14"/>
      <name val="Arial Narrow"/>
      <family val="2"/>
      <scheme val="major"/>
    </font>
    <font>
      <b/>
      <sz val="14"/>
      <color theme="1"/>
      <name val="Arial Narrow"/>
      <family val="2"/>
      <scheme val="major"/>
    </font>
    <font>
      <b/>
      <sz val="12"/>
      <color rgb="FF000000"/>
      <name val="Arial Narrow"/>
      <family val="2"/>
      <scheme val="major"/>
    </font>
    <font>
      <sz val="12"/>
      <color rgb="FF000000"/>
      <name val="Arial Narrow"/>
      <family val="2"/>
      <scheme val="major"/>
    </font>
    <font>
      <b/>
      <u/>
      <sz val="12"/>
      <name val="Arial Narrow"/>
      <family val="2"/>
      <scheme val="major"/>
    </font>
    <font>
      <sz val="12"/>
      <color theme="0"/>
      <name val="Arial Narrow"/>
      <family val="2"/>
      <scheme val="major"/>
    </font>
    <font>
      <b/>
      <sz val="16"/>
      <name val="Arial Narrow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/>
      <right style="thin">
        <color theme="8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</cellStyleXfs>
  <cellXfs count="499">
    <xf numFmtId="0" fontId="0" fillId="0" borderId="0" xfId="0"/>
    <xf numFmtId="0" fontId="3" fillId="0" borderId="0" xfId="3" applyFont="1"/>
    <xf numFmtId="4" fontId="3" fillId="0" borderId="0" xfId="3" applyNumberFormat="1" applyFont="1"/>
    <xf numFmtId="0" fontId="7" fillId="0" borderId="0" xfId="3" applyFont="1"/>
    <xf numFmtId="0" fontId="8" fillId="0" borderId="0" xfId="8" applyFont="1"/>
    <xf numFmtId="0" fontId="8" fillId="0" borderId="0" xfId="0" applyFont="1"/>
    <xf numFmtId="0" fontId="9" fillId="0" borderId="0" xfId="8" applyFont="1"/>
    <xf numFmtId="170" fontId="8" fillId="0" borderId="0" xfId="8" applyNumberFormat="1" applyFont="1"/>
    <xf numFmtId="0" fontId="7" fillId="0" borderId="0" xfId="3" applyFont="1" applyFill="1" applyBorder="1"/>
    <xf numFmtId="0" fontId="7" fillId="0" borderId="0" xfId="3" applyFont="1" applyFill="1"/>
    <xf numFmtId="0" fontId="10" fillId="0" borderId="0" xfId="3" applyFont="1" applyFill="1" applyBorder="1"/>
    <xf numFmtId="170" fontId="11" fillId="0" borderId="0" xfId="8" applyNumberFormat="1" applyFont="1" applyAlignment="1">
      <alignment horizontal="center"/>
    </xf>
    <xf numFmtId="0" fontId="10" fillId="0" borderId="0" xfId="3" applyFont="1" applyFill="1" applyAlignment="1"/>
    <xf numFmtId="0" fontId="7" fillId="0" borderId="0" xfId="3" applyFont="1" applyAlignment="1"/>
    <xf numFmtId="0" fontId="7" fillId="0" borderId="0" xfId="3" applyFont="1" applyFill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0" xfId="3" applyFont="1"/>
    <xf numFmtId="0" fontId="10" fillId="4" borderId="0" xfId="3" applyFont="1" applyFill="1"/>
    <xf numFmtId="0" fontId="8" fillId="4" borderId="0" xfId="8" applyFont="1" applyFill="1"/>
    <xf numFmtId="0" fontId="12" fillId="4" borderId="0" xfId="8" applyFont="1" applyFill="1"/>
    <xf numFmtId="0" fontId="9" fillId="4" borderId="0" xfId="3" applyFont="1" applyFill="1"/>
    <xf numFmtId="0" fontId="9" fillId="4" borderId="0" xfId="3" applyFont="1" applyFill="1" applyAlignment="1">
      <alignment wrapText="1"/>
    </xf>
    <xf numFmtId="0" fontId="8" fillId="4" borderId="0" xfId="0" applyFont="1" applyFill="1"/>
    <xf numFmtId="0" fontId="7" fillId="4" borderId="0" xfId="3" applyFont="1" applyFill="1"/>
    <xf numFmtId="0" fontId="9" fillId="0" borderId="0" xfId="3" applyFont="1" applyFill="1"/>
    <xf numFmtId="0" fontId="7" fillId="0" borderId="0" xfId="3" applyFont="1" applyBorder="1"/>
    <xf numFmtId="3" fontId="10" fillId="0" borderId="0" xfId="3" applyNumberFormat="1" applyFont="1" applyFill="1"/>
    <xf numFmtId="0" fontId="10" fillId="0" borderId="11" xfId="3" applyNumberFormat="1" applyFont="1" applyBorder="1" applyAlignment="1"/>
    <xf numFmtId="0" fontId="10" fillId="0" borderId="5" xfId="3" applyNumberFormat="1" applyFont="1" applyBorder="1" applyAlignment="1"/>
    <xf numFmtId="0" fontId="7" fillId="0" borderId="5" xfId="3" applyNumberFormat="1" applyFont="1" applyBorder="1" applyAlignment="1"/>
    <xf numFmtId="3" fontId="9" fillId="0" borderId="5" xfId="3" applyNumberFormat="1" applyFont="1" applyBorder="1" applyAlignment="1"/>
    <xf numFmtId="3" fontId="10" fillId="0" borderId="5" xfId="3" applyNumberFormat="1" applyFont="1" applyBorder="1" applyAlignment="1"/>
    <xf numFmtId="10" fontId="10" fillId="0" borderId="5" xfId="2" applyNumberFormat="1" applyFont="1" applyBorder="1"/>
    <xf numFmtId="3" fontId="10" fillId="0" borderId="12" xfId="3" applyNumberFormat="1" applyFont="1" applyBorder="1" applyAlignment="1"/>
    <xf numFmtId="170" fontId="8" fillId="0" borderId="7" xfId="8" applyNumberFormat="1" applyFont="1" applyBorder="1" applyAlignment="1"/>
    <xf numFmtId="0" fontId="7" fillId="0" borderId="7" xfId="3" applyNumberFormat="1" applyFont="1" applyBorder="1" applyAlignment="1"/>
    <xf numFmtId="3" fontId="8" fillId="0" borderId="7" xfId="3" applyNumberFormat="1" applyFont="1" applyBorder="1" applyAlignment="1"/>
    <xf numFmtId="3" fontId="7" fillId="0" borderId="7" xfId="3" applyNumberFormat="1" applyFont="1" applyBorder="1" applyAlignment="1"/>
    <xf numFmtId="10" fontId="7" fillId="0" borderId="7" xfId="2" applyNumberFormat="1" applyFont="1" applyBorder="1"/>
    <xf numFmtId="2" fontId="7" fillId="0" borderId="0" xfId="3" applyNumberFormat="1" applyFont="1"/>
    <xf numFmtId="3" fontId="7" fillId="0" borderId="0" xfId="3" applyNumberFormat="1" applyFont="1"/>
    <xf numFmtId="170" fontId="8" fillId="0" borderId="0" xfId="3" applyNumberFormat="1" applyFont="1" applyFill="1"/>
    <xf numFmtId="0" fontId="8" fillId="0" borderId="7" xfId="3" applyNumberFormat="1" applyFont="1" applyBorder="1" applyAlignment="1"/>
    <xf numFmtId="170" fontId="8" fillId="0" borderId="0" xfId="3" applyNumberFormat="1" applyFont="1"/>
    <xf numFmtId="3" fontId="8" fillId="0" borderId="0" xfId="3" applyNumberFormat="1" applyFont="1"/>
    <xf numFmtId="3" fontId="7" fillId="0" borderId="0" xfId="3" applyNumberFormat="1" applyFont="1" applyFill="1" applyBorder="1"/>
    <xf numFmtId="170" fontId="8" fillId="0" borderId="0" xfId="8" applyNumberFormat="1" applyFont="1" applyFill="1" applyBorder="1"/>
    <xf numFmtId="170" fontId="14" fillId="0" borderId="0" xfId="8" applyNumberFormat="1" applyFont="1"/>
    <xf numFmtId="170" fontId="8" fillId="0" borderId="0" xfId="8" applyNumberFormat="1" applyFont="1" applyFill="1"/>
    <xf numFmtId="0" fontId="8" fillId="0" borderId="0" xfId="3" applyFont="1" applyFill="1"/>
    <xf numFmtId="170" fontId="8" fillId="0" borderId="10" xfId="8" applyNumberFormat="1" applyFont="1" applyBorder="1" applyAlignment="1"/>
    <xf numFmtId="0" fontId="7" fillId="0" borderId="10" xfId="3" applyNumberFormat="1" applyFont="1" applyBorder="1" applyAlignment="1"/>
    <xf numFmtId="3" fontId="8" fillId="0" borderId="10" xfId="3" applyNumberFormat="1" applyFont="1" applyBorder="1" applyAlignment="1"/>
    <xf numFmtId="3" fontId="7" fillId="0" borderId="10" xfId="3" applyNumberFormat="1" applyFont="1" applyBorder="1" applyAlignment="1"/>
    <xf numFmtId="10" fontId="7" fillId="0" borderId="10" xfId="2" applyNumberFormat="1" applyFont="1" applyBorder="1"/>
    <xf numFmtId="0" fontId="10" fillId="4" borderId="0" xfId="3" applyFont="1" applyFill="1" applyAlignment="1">
      <alignment horizontal="center"/>
    </xf>
    <xf numFmtId="174" fontId="10" fillId="4" borderId="0" xfId="3" applyNumberFormat="1" applyFont="1" applyFill="1" applyAlignment="1">
      <alignment horizontal="center"/>
    </xf>
    <xf numFmtId="170" fontId="10" fillId="4" borderId="0" xfId="3" applyNumberFormat="1" applyFont="1" applyFill="1"/>
    <xf numFmtId="0" fontId="10" fillId="3" borderId="0" xfId="3" applyFont="1" applyFill="1" applyBorder="1" applyAlignment="1"/>
    <xf numFmtId="0" fontId="15" fillId="0" borderId="0" xfId="3" applyFont="1" applyBorder="1"/>
    <xf numFmtId="0" fontId="9" fillId="0" borderId="5" xfId="3" applyNumberFormat="1" applyFont="1" applyBorder="1" applyAlignment="1"/>
    <xf numFmtId="3" fontId="7" fillId="0" borderId="7" xfId="8" applyNumberFormat="1" applyFont="1" applyBorder="1" applyAlignment="1"/>
    <xf numFmtId="3" fontId="10" fillId="0" borderId="8" xfId="3" applyNumberFormat="1" applyFont="1" applyBorder="1" applyAlignment="1"/>
    <xf numFmtId="3" fontId="7" fillId="0" borderId="0" xfId="3" applyNumberFormat="1" applyFont="1" applyFill="1"/>
    <xf numFmtId="174" fontId="7" fillId="0" borderId="0" xfId="3" applyNumberFormat="1" applyFont="1"/>
    <xf numFmtId="170" fontId="7" fillId="0" borderId="0" xfId="3" applyNumberFormat="1" applyFont="1"/>
    <xf numFmtId="3" fontId="10" fillId="0" borderId="10" xfId="3" applyNumberFormat="1" applyFont="1" applyBorder="1" applyAlignment="1"/>
    <xf numFmtId="0" fontId="10" fillId="0" borderId="0" xfId="3" applyFont="1" applyFill="1" applyBorder="1" applyAlignment="1"/>
    <xf numFmtId="175" fontId="10" fillId="0" borderId="0" xfId="7" applyNumberFormat="1" applyFont="1" applyFill="1" applyBorder="1"/>
    <xf numFmtId="175" fontId="10" fillId="0" borderId="0" xfId="3" applyNumberFormat="1" applyFont="1" applyFill="1" applyBorder="1"/>
    <xf numFmtId="0" fontId="10" fillId="4" borderId="0" xfId="3" applyFont="1" applyFill="1" applyAlignment="1">
      <alignment horizontal="left"/>
    </xf>
    <xf numFmtId="0" fontId="13" fillId="0" borderId="1" xfId="3" applyFont="1" applyBorder="1"/>
    <xf numFmtId="0" fontId="13" fillId="0" borderId="1" xfId="3" applyFont="1" applyBorder="1" applyAlignment="1">
      <alignment wrapText="1"/>
    </xf>
    <xf numFmtId="0" fontId="7" fillId="0" borderId="0" xfId="3" applyFont="1" applyAlignment="1">
      <alignment wrapText="1"/>
    </xf>
    <xf numFmtId="175" fontId="7" fillId="0" borderId="0" xfId="7" applyNumberFormat="1" applyFont="1" applyFill="1"/>
    <xf numFmtId="175" fontId="7" fillId="0" borderId="0" xfId="3" applyNumberFormat="1" applyFont="1" applyFill="1"/>
    <xf numFmtId="175" fontId="10" fillId="0" borderId="0" xfId="3" applyNumberFormat="1" applyFont="1"/>
    <xf numFmtId="176" fontId="16" fillId="0" borderId="0" xfId="2" applyNumberFormat="1" applyFont="1" applyFill="1"/>
    <xf numFmtId="0" fontId="7" fillId="0" borderId="1" xfId="3" applyFont="1" applyBorder="1" applyAlignment="1">
      <alignment horizontal="left"/>
    </xf>
    <xf numFmtId="3" fontId="7" fillId="0" borderId="1" xfId="3" applyNumberFormat="1" applyFont="1" applyBorder="1"/>
    <xf numFmtId="3" fontId="7" fillId="0" borderId="1" xfId="3" applyNumberFormat="1" applyFont="1" applyFill="1" applyBorder="1"/>
    <xf numFmtId="3" fontId="10" fillId="0" borderId="0" xfId="3" applyNumberFormat="1" applyFont="1"/>
    <xf numFmtId="1" fontId="10" fillId="0" borderId="0" xfId="3" applyNumberFormat="1" applyFont="1" applyFill="1"/>
    <xf numFmtId="0" fontId="17" fillId="0" borderId="0" xfId="3" applyFont="1" applyFill="1" applyBorder="1"/>
    <xf numFmtId="0" fontId="18" fillId="4" borderId="0" xfId="3" applyFont="1" applyFill="1"/>
    <xf numFmtId="0" fontId="8" fillId="0" borderId="0" xfId="10" applyFont="1"/>
    <xf numFmtId="3" fontId="7" fillId="0" borderId="5" xfId="3" applyNumberFormat="1" applyFont="1" applyBorder="1" applyAlignment="1"/>
    <xf numFmtId="2" fontId="7" fillId="0" borderId="5" xfId="3" applyNumberFormat="1" applyFont="1" applyBorder="1" applyAlignment="1"/>
    <xf numFmtId="174" fontId="7" fillId="0" borderId="5" xfId="3" applyNumberFormat="1" applyFont="1" applyBorder="1" applyAlignment="1"/>
    <xf numFmtId="3" fontId="17" fillId="0" borderId="0" xfId="3" applyNumberFormat="1" applyFont="1" applyFill="1" applyBorder="1"/>
    <xf numFmtId="0" fontId="10" fillId="0" borderId="6" xfId="3" applyNumberFormat="1" applyFont="1" applyBorder="1" applyAlignment="1"/>
    <xf numFmtId="174" fontId="7" fillId="0" borderId="7" xfId="3" applyNumberFormat="1" applyFont="1" applyBorder="1" applyAlignment="1"/>
    <xf numFmtId="0" fontId="8" fillId="0" borderId="0" xfId="10" applyFont="1" applyBorder="1"/>
    <xf numFmtId="0" fontId="10" fillId="0" borderId="9" xfId="3" applyNumberFormat="1" applyFont="1" applyBorder="1" applyAlignment="1"/>
    <xf numFmtId="2" fontId="10" fillId="0" borderId="10" xfId="3" applyNumberFormat="1" applyFont="1" applyBorder="1" applyAlignment="1"/>
    <xf numFmtId="174" fontId="10" fillId="0" borderId="10" xfId="3" applyNumberFormat="1" applyFont="1" applyBorder="1" applyAlignment="1"/>
    <xf numFmtId="2" fontId="10" fillId="0" borderId="0" xfId="3" applyNumberFormat="1" applyFont="1"/>
    <xf numFmtId="174" fontId="10" fillId="0" borderId="0" xfId="3" applyNumberFormat="1" applyFont="1"/>
    <xf numFmtId="0" fontId="17" fillId="4" borderId="0" xfId="3" applyFont="1" applyFill="1"/>
    <xf numFmtId="0" fontId="7" fillId="0" borderId="0" xfId="10" applyFont="1"/>
    <xf numFmtId="0" fontId="10" fillId="0" borderId="0" xfId="3" applyFont="1" applyFill="1" applyProtection="1"/>
    <xf numFmtId="3" fontId="10" fillId="0" borderId="2" xfId="3" applyNumberFormat="1" applyFont="1" applyBorder="1"/>
    <xf numFmtId="0" fontId="7" fillId="0" borderId="0" xfId="10" applyFont="1" applyBorder="1"/>
    <xf numFmtId="0" fontId="10" fillId="0" borderId="0" xfId="3" applyFont="1" applyFill="1" applyBorder="1" applyProtection="1"/>
    <xf numFmtId="3" fontId="10" fillId="0" borderId="0" xfId="3" applyNumberFormat="1" applyFont="1" applyFill="1" applyBorder="1"/>
    <xf numFmtId="0" fontId="7" fillId="0" borderId="1" xfId="3" applyFont="1" applyBorder="1"/>
    <xf numFmtId="0" fontId="10" fillId="0" borderId="1" xfId="3" applyFont="1" applyBorder="1"/>
    <xf numFmtId="3" fontId="10" fillId="0" borderId="3" xfId="3" applyNumberFormat="1" applyFont="1" applyBorder="1"/>
    <xf numFmtId="3" fontId="10" fillId="0" borderId="1" xfId="3" applyNumberFormat="1" applyFont="1" applyBorder="1"/>
    <xf numFmtId="175" fontId="10" fillId="0" borderId="0" xfId="7" applyNumberFormat="1" applyFont="1"/>
    <xf numFmtId="9" fontId="10" fillId="0" borderId="2" xfId="2" applyFont="1" applyBorder="1"/>
    <xf numFmtId="0" fontId="17" fillId="0" borderId="0" xfId="3" applyFont="1"/>
    <xf numFmtId="0" fontId="10" fillId="0" borderId="7" xfId="3" applyNumberFormat="1" applyFont="1" applyBorder="1" applyAlignment="1"/>
    <xf numFmtId="3" fontId="10" fillId="0" borderId="7" xfId="3" applyNumberFormat="1" applyFont="1" applyBorder="1" applyAlignment="1"/>
    <xf numFmtId="0" fontId="10" fillId="0" borderId="10" xfId="3" applyNumberFormat="1" applyFont="1" applyBorder="1" applyAlignment="1"/>
    <xf numFmtId="3" fontId="10" fillId="0" borderId="15" xfId="3" applyNumberFormat="1" applyFont="1" applyBorder="1" applyAlignment="1"/>
    <xf numFmtId="3" fontId="10" fillId="0" borderId="13" xfId="3" applyNumberFormat="1" applyFont="1" applyBorder="1" applyAlignment="1"/>
    <xf numFmtId="1" fontId="7" fillId="0" borderId="0" xfId="3" applyNumberFormat="1" applyFont="1"/>
    <xf numFmtId="0" fontId="8" fillId="0" borderId="0" xfId="3" applyFont="1"/>
    <xf numFmtId="0" fontId="10" fillId="4" borderId="0" xfId="3" applyFont="1" applyFill="1" applyBorder="1" applyAlignment="1">
      <alignment horizontal="left"/>
    </xf>
    <xf numFmtId="0" fontId="7" fillId="4" borderId="0" xfId="3" applyFont="1" applyFill="1" applyBorder="1"/>
    <xf numFmtId="0" fontId="8" fillId="4" borderId="0" xfId="3" applyFont="1" applyFill="1" applyBorder="1"/>
    <xf numFmtId="0" fontId="8" fillId="0" borderId="0" xfId="3" applyFont="1" applyFill="1" applyBorder="1"/>
    <xf numFmtId="0" fontId="7" fillId="0" borderId="0" xfId="3" applyFont="1" applyFill="1" applyBorder="1" applyAlignment="1">
      <alignment wrapText="1"/>
    </xf>
    <xf numFmtId="175" fontId="7" fillId="0" borderId="0" xfId="7" applyNumberFormat="1" applyFont="1" applyFill="1" applyBorder="1"/>
    <xf numFmtId="175" fontId="7" fillId="0" borderId="0" xfId="3" applyNumberFormat="1" applyFont="1" applyFill="1" applyBorder="1"/>
    <xf numFmtId="175" fontId="8" fillId="0" borderId="0" xfId="3" applyNumberFormat="1" applyFont="1" applyFill="1" applyBorder="1"/>
    <xf numFmtId="0" fontId="7" fillId="0" borderId="0" xfId="3" applyFont="1" applyFill="1" applyBorder="1" applyAlignment="1">
      <alignment horizontal="left"/>
    </xf>
    <xf numFmtId="3" fontId="8" fillId="0" borderId="0" xfId="3" applyNumberFormat="1" applyFont="1" applyFill="1" applyBorder="1"/>
    <xf numFmtId="0" fontId="9" fillId="4" borderId="0" xfId="3" applyFont="1" applyFill="1" applyBorder="1"/>
    <xf numFmtId="0" fontId="9" fillId="0" borderId="0" xfId="3" applyFont="1" applyFill="1" applyBorder="1"/>
    <xf numFmtId="174" fontId="8" fillId="0" borderId="0" xfId="3" applyNumberFormat="1" applyFont="1" applyFill="1" applyBorder="1"/>
    <xf numFmtId="2" fontId="8" fillId="0" borderId="0" xfId="3" applyNumberFormat="1" applyFont="1" applyFill="1" applyBorder="1"/>
    <xf numFmtId="0" fontId="9" fillId="0" borderId="0" xfId="3" applyFont="1"/>
    <xf numFmtId="3" fontId="9" fillId="0" borderId="0" xfId="3" applyNumberFormat="1" applyFont="1" applyFill="1" applyBorder="1"/>
    <xf numFmtId="9" fontId="8" fillId="0" borderId="0" xfId="3" applyNumberFormat="1" applyFont="1"/>
    <xf numFmtId="1" fontId="8" fillId="0" borderId="0" xfId="3" applyNumberFormat="1" applyFont="1"/>
    <xf numFmtId="3" fontId="9" fillId="0" borderId="0" xfId="3" applyNumberFormat="1" applyFont="1" applyFill="1" applyBorder="1" applyAlignment="1">
      <alignment horizontal="right"/>
    </xf>
    <xf numFmtId="0" fontId="8" fillId="0" borderId="0" xfId="3" applyFont="1" applyAlignment="1">
      <alignment horizontal="right"/>
    </xf>
    <xf numFmtId="0" fontId="8" fillId="0" borderId="0" xfId="3" applyFont="1" applyFill="1" applyAlignment="1">
      <alignment horizontal="right"/>
    </xf>
    <xf numFmtId="9" fontId="9" fillId="0" borderId="0" xfId="2" applyFont="1" applyFill="1" applyBorder="1"/>
    <xf numFmtId="1" fontId="8" fillId="0" borderId="0" xfId="3" applyNumberFormat="1" applyFont="1" applyFill="1"/>
    <xf numFmtId="0" fontId="9" fillId="0" borderId="0" xfId="3" applyFont="1" applyFill="1" applyAlignment="1">
      <alignment horizontal="center"/>
    </xf>
    <xf numFmtId="0" fontId="8" fillId="0" borderId="0" xfId="3" applyFont="1" applyFill="1" applyBorder="1" applyAlignment="1">
      <alignment wrapText="1"/>
    </xf>
    <xf numFmtId="0" fontId="8" fillId="0" borderId="0" xfId="3" applyFont="1" applyAlignment="1">
      <alignment wrapText="1"/>
    </xf>
    <xf numFmtId="0" fontId="20" fillId="0" borderId="0" xfId="3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8" fillId="0" borderId="0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center"/>
    </xf>
    <xf numFmtId="1" fontId="8" fillId="0" borderId="0" xfId="3" applyNumberFormat="1" applyFont="1" applyFill="1" applyBorder="1"/>
    <xf numFmtId="180" fontId="8" fillId="0" borderId="0" xfId="3" applyNumberFormat="1" applyFont="1" applyFill="1" applyBorder="1"/>
    <xf numFmtId="170" fontId="8" fillId="0" borderId="0" xfId="3" applyNumberFormat="1" applyFont="1" applyFill="1" applyBorder="1"/>
    <xf numFmtId="0" fontId="18" fillId="0" borderId="0" xfId="3" applyFont="1" applyFill="1" applyBorder="1"/>
    <xf numFmtId="170" fontId="9" fillId="0" borderId="0" xfId="3" applyNumberFormat="1" applyFont="1" applyFill="1" applyBorder="1"/>
    <xf numFmtId="0" fontId="10" fillId="0" borderId="0" xfId="3" applyFont="1" applyFill="1"/>
    <xf numFmtId="0" fontId="7" fillId="4" borderId="0" xfId="3" applyFont="1" applyFill="1" applyAlignment="1">
      <alignment horizontal="center"/>
    </xf>
    <xf numFmtId="175" fontId="7" fillId="4" borderId="0" xfId="3" applyNumberFormat="1" applyFont="1" applyFill="1" applyAlignment="1">
      <alignment horizontal="center"/>
    </xf>
    <xf numFmtId="3" fontId="7" fillId="0" borderId="0" xfId="3" applyNumberFormat="1" applyFont="1" applyFill="1" applyProtection="1"/>
    <xf numFmtId="179" fontId="8" fillId="0" borderId="0" xfId="3" applyNumberFormat="1" applyFont="1" applyBorder="1"/>
    <xf numFmtId="170" fontId="10" fillId="0" borderId="0" xfId="3" applyNumberFormat="1" applyFont="1"/>
    <xf numFmtId="169" fontId="7" fillId="0" borderId="0" xfId="3" applyNumberFormat="1" applyFont="1"/>
    <xf numFmtId="0" fontId="7" fillId="0" borderId="0" xfId="10" applyFont="1" applyFill="1" applyBorder="1"/>
    <xf numFmtId="3" fontId="7" fillId="0" borderId="0" xfId="3" applyNumberFormat="1" applyFont="1" applyFill="1" applyBorder="1" applyProtection="1"/>
    <xf numFmtId="170" fontId="7" fillId="0" borderId="0" xfId="3" applyNumberFormat="1" applyFont="1" applyFill="1" applyBorder="1"/>
    <xf numFmtId="179" fontId="8" fillId="0" borderId="0" xfId="3" applyNumberFormat="1" applyFont="1" applyFill="1" applyBorder="1"/>
    <xf numFmtId="170" fontId="10" fillId="0" borderId="0" xfId="3" applyNumberFormat="1" applyFont="1" applyFill="1" applyBorder="1"/>
    <xf numFmtId="1" fontId="7" fillId="0" borderId="0" xfId="3" applyNumberFormat="1" applyFont="1" applyFill="1" applyBorder="1"/>
    <xf numFmtId="169" fontId="7" fillId="0" borderId="0" xfId="3" applyNumberFormat="1" applyFont="1" applyFill="1" applyBorder="1"/>
    <xf numFmtId="170" fontId="7" fillId="0" borderId="0" xfId="3" applyNumberFormat="1" applyFont="1" applyFill="1"/>
    <xf numFmtId="170" fontId="10" fillId="0" borderId="0" xfId="3" applyNumberFormat="1" applyFont="1" applyFill="1"/>
    <xf numFmtId="1" fontId="7" fillId="0" borderId="0" xfId="3" applyNumberFormat="1" applyFont="1" applyFill="1"/>
    <xf numFmtId="179" fontId="9" fillId="0" borderId="0" xfId="3" applyNumberFormat="1" applyFont="1" applyBorder="1"/>
    <xf numFmtId="175" fontId="7" fillId="0" borderId="0" xfId="7" applyNumberFormat="1" applyFont="1"/>
    <xf numFmtId="0" fontId="10" fillId="0" borderId="1" xfId="3" applyFont="1" applyBorder="1" applyAlignment="1">
      <alignment wrapText="1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175" fontId="10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170" fontId="10" fillId="0" borderId="0" xfId="3" applyNumberFormat="1" applyFont="1" applyBorder="1" applyAlignment="1">
      <alignment horizontal="center"/>
    </xf>
    <xf numFmtId="3" fontId="7" fillId="0" borderId="0" xfId="3" applyNumberFormat="1" applyFont="1" applyBorder="1"/>
    <xf numFmtId="170" fontId="10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0" fillId="0" borderId="0" xfId="3" applyFont="1" applyFill="1" applyAlignment="1">
      <alignment wrapText="1"/>
    </xf>
    <xf numFmtId="175" fontId="10" fillId="0" borderId="0" xfId="7" applyNumberFormat="1" applyFont="1" applyFill="1"/>
    <xf numFmtId="178" fontId="10" fillId="0" borderId="0" xfId="7" applyNumberFormat="1" applyFont="1"/>
    <xf numFmtId="0" fontId="10" fillId="4" borderId="0" xfId="3" applyFont="1" applyFill="1" applyAlignment="1">
      <alignment wrapText="1"/>
    </xf>
    <xf numFmtId="175" fontId="10" fillId="4" borderId="0" xfId="7" applyNumberFormat="1" applyFont="1" applyFill="1"/>
    <xf numFmtId="3" fontId="7" fillId="0" borderId="0" xfId="7" applyNumberFormat="1" applyFont="1" applyFill="1"/>
    <xf numFmtId="170" fontId="7" fillId="0" borderId="0" xfId="7" applyNumberFormat="1" applyFont="1" applyFill="1"/>
    <xf numFmtId="170" fontId="10" fillId="0" borderId="0" xfId="7" applyNumberFormat="1" applyFont="1"/>
    <xf numFmtId="170" fontId="10" fillId="0" borderId="0" xfId="7" applyNumberFormat="1" applyFont="1" applyFill="1"/>
    <xf numFmtId="3" fontId="10" fillId="0" borderId="0" xfId="3" applyNumberFormat="1" applyFont="1" applyBorder="1"/>
    <xf numFmtId="3" fontId="10" fillId="0" borderId="2" xfId="3" applyNumberFormat="1" applyFont="1" applyFill="1" applyBorder="1"/>
    <xf numFmtId="175" fontId="10" fillId="0" borderId="0" xfId="2" applyNumberFormat="1" applyFont="1" applyFill="1"/>
    <xf numFmtId="175" fontId="7" fillId="0" borderId="0" xfId="3" applyNumberFormat="1" applyFont="1"/>
    <xf numFmtId="175" fontId="10" fillId="0" borderId="0" xfId="7" applyNumberFormat="1" applyFont="1" applyBorder="1"/>
    <xf numFmtId="0" fontId="10" fillId="0" borderId="0" xfId="3" applyFont="1" applyBorder="1" applyAlignment="1">
      <alignment horizontal="right"/>
    </xf>
    <xf numFmtId="175" fontId="10" fillId="0" borderId="0" xfId="3" applyNumberFormat="1" applyFont="1" applyFill="1"/>
    <xf numFmtId="0" fontId="8" fillId="0" borderId="0" xfId="3" applyFont="1" applyAlignment="1">
      <alignment vertical="center"/>
    </xf>
    <xf numFmtId="175" fontId="10" fillId="0" borderId="0" xfId="3" applyNumberFormat="1" applyFont="1" applyFill="1" applyBorder="1" applyAlignment="1"/>
    <xf numFmtId="170" fontId="9" fillId="0" borderId="0" xfId="3" applyNumberFormat="1" applyFont="1" applyFill="1" applyBorder="1" applyAlignment="1">
      <alignment horizontal="right"/>
    </xf>
    <xf numFmtId="0" fontId="9" fillId="0" borderId="0" xfId="10" applyFont="1"/>
    <xf numFmtId="3" fontId="10" fillId="0" borderId="0" xfId="3" applyNumberFormat="1" applyFont="1" applyFill="1" applyProtection="1"/>
    <xf numFmtId="179" fontId="7" fillId="0" borderId="0" xfId="3" applyNumberFormat="1" applyFont="1" applyFill="1" applyBorder="1"/>
    <xf numFmtId="0" fontId="9" fillId="0" borderId="0" xfId="10" applyFont="1" applyBorder="1"/>
    <xf numFmtId="3" fontId="10" fillId="0" borderId="0" xfId="3" applyNumberFormat="1" applyFont="1" applyFill="1" applyBorder="1" applyProtection="1"/>
    <xf numFmtId="170" fontId="7" fillId="0" borderId="0" xfId="3" applyNumberFormat="1" applyFont="1" applyBorder="1"/>
    <xf numFmtId="170" fontId="10" fillId="0" borderId="0" xfId="3" applyNumberFormat="1" applyFont="1" applyBorder="1"/>
    <xf numFmtId="179" fontId="8" fillId="0" borderId="0" xfId="4" applyNumberFormat="1" applyFont="1" applyFill="1" applyBorder="1"/>
    <xf numFmtId="1" fontId="9" fillId="0" borderId="1" xfId="3" applyNumberFormat="1" applyFont="1" applyFill="1" applyBorder="1"/>
    <xf numFmtId="179" fontId="8" fillId="0" borderId="0" xfId="3" applyNumberFormat="1" applyFont="1" applyFill="1"/>
    <xf numFmtId="186" fontId="7" fillId="0" borderId="0" xfId="3" applyNumberFormat="1" applyFont="1" applyFill="1" applyBorder="1"/>
    <xf numFmtId="1" fontId="9" fillId="0" borderId="0" xfId="3" applyNumberFormat="1" applyFont="1" applyFill="1" applyBorder="1"/>
    <xf numFmtId="0" fontId="8" fillId="0" borderId="0" xfId="3" applyFont="1" applyBorder="1"/>
    <xf numFmtId="181" fontId="7" fillId="0" borderId="0" xfId="3" applyNumberFormat="1" applyFont="1" applyFill="1" applyBorder="1"/>
    <xf numFmtId="0" fontId="23" fillId="0" borderId="0" xfId="3" applyFont="1"/>
    <xf numFmtId="3" fontId="23" fillId="0" borderId="0" xfId="3" applyNumberFormat="1" applyFont="1" applyFill="1"/>
    <xf numFmtId="1" fontId="23" fillId="0" borderId="0" xfId="3" applyNumberFormat="1" applyFont="1" applyFill="1"/>
    <xf numFmtId="3" fontId="23" fillId="0" borderId="0" xfId="3" applyNumberFormat="1" applyFont="1"/>
    <xf numFmtId="3" fontId="24" fillId="0" borderId="0" xfId="3" applyNumberFormat="1" applyFont="1"/>
    <xf numFmtId="0" fontId="22" fillId="0" borderId="0" xfId="3" applyFont="1" applyFill="1"/>
    <xf numFmtId="0" fontId="18" fillId="0" borderId="0" xfId="3" applyFont="1"/>
    <xf numFmtId="175" fontId="10" fillId="4" borderId="0" xfId="3" applyNumberFormat="1" applyFont="1" applyFill="1" applyBorder="1" applyAlignment="1">
      <alignment horizontal="center"/>
    </xf>
    <xf numFmtId="175" fontId="10" fillId="4" borderId="0" xfId="3" applyNumberFormat="1" applyFont="1" applyFill="1" applyAlignment="1">
      <alignment horizontal="center"/>
    </xf>
    <xf numFmtId="175" fontId="10" fillId="4" borderId="0" xfId="3" applyNumberFormat="1" applyFont="1" applyFill="1" applyBorder="1" applyAlignment="1"/>
    <xf numFmtId="0" fontId="10" fillId="0" borderId="0" xfId="3" applyFont="1" applyAlignment="1">
      <alignment wrapText="1"/>
    </xf>
    <xf numFmtId="177" fontId="7" fillId="0" borderId="0" xfId="7" applyNumberFormat="1" applyFont="1" applyFill="1"/>
    <xf numFmtId="170" fontId="14" fillId="0" borderId="7" xfId="8" applyNumberFormat="1" applyFont="1" applyBorder="1" applyAlignment="1"/>
    <xf numFmtId="170" fontId="13" fillId="5" borderId="0" xfId="8" applyNumberFormat="1" applyFont="1" applyFill="1" applyBorder="1" applyAlignment="1"/>
    <xf numFmtId="0" fontId="13" fillId="5" borderId="0" xfId="3" applyNumberFormat="1" applyFont="1" applyFill="1" applyBorder="1" applyAlignment="1">
      <alignment horizontal="center"/>
    </xf>
    <xf numFmtId="170" fontId="13" fillId="5" borderId="0" xfId="8" applyNumberFormat="1" applyFont="1" applyFill="1" applyBorder="1" applyAlignment="1">
      <alignment horizontal="left" wrapText="1"/>
    </xf>
    <xf numFmtId="174" fontId="13" fillId="5" borderId="0" xfId="8" applyNumberFormat="1" applyFont="1" applyFill="1" applyBorder="1" applyAlignment="1">
      <alignment horizontal="left" wrapText="1"/>
    </xf>
    <xf numFmtId="170" fontId="13" fillId="5" borderId="0" xfId="3" applyNumberFormat="1" applyFont="1" applyFill="1" applyBorder="1" applyAlignment="1">
      <alignment wrapText="1"/>
    </xf>
    <xf numFmtId="0" fontId="13" fillId="5" borderId="0" xfId="3" applyNumberFormat="1" applyFont="1" applyFill="1" applyBorder="1" applyAlignment="1"/>
    <xf numFmtId="0" fontId="13" fillId="5" borderId="0" xfId="3" applyNumberFormat="1" applyFont="1" applyFill="1" applyBorder="1" applyAlignment="1">
      <alignment wrapText="1"/>
    </xf>
    <xf numFmtId="3" fontId="9" fillId="0" borderId="7" xfId="0" applyNumberFormat="1" applyFont="1" applyBorder="1"/>
    <xf numFmtId="3" fontId="9" fillId="0" borderId="10" xfId="0" applyNumberFormat="1" applyFont="1" applyBorder="1"/>
    <xf numFmtId="170" fontId="13" fillId="5" borderId="0" xfId="8" applyNumberFormat="1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7" fillId="0" borderId="5" xfId="10" applyNumberFormat="1" applyFont="1" applyBorder="1" applyAlignment="1"/>
    <xf numFmtId="0" fontId="7" fillId="0" borderId="7" xfId="10" applyNumberFormat="1" applyFont="1" applyBorder="1" applyAlignment="1"/>
    <xf numFmtId="175" fontId="10" fillId="0" borderId="7" xfId="2" applyNumberFormat="1" applyFont="1" applyBorder="1" applyAlignment="1"/>
    <xf numFmtId="3" fontId="10" fillId="0" borderId="14" xfId="3" applyNumberFormat="1" applyFont="1" applyBorder="1" applyAlignment="1"/>
    <xf numFmtId="0" fontId="8" fillId="0" borderId="5" xfId="10" applyNumberFormat="1" applyFont="1" applyBorder="1" applyAlignment="1"/>
    <xf numFmtId="0" fontId="8" fillId="0" borderId="7" xfId="10" applyNumberFormat="1" applyFont="1" applyBorder="1" applyAlignment="1"/>
    <xf numFmtId="1" fontId="10" fillId="0" borderId="15" xfId="3" applyNumberFormat="1" applyFont="1" applyBorder="1" applyAlignment="1"/>
    <xf numFmtId="1" fontId="10" fillId="0" borderId="13" xfId="3" applyNumberFormat="1" applyFont="1" applyBorder="1" applyAlignment="1"/>
    <xf numFmtId="1" fontId="10" fillId="0" borderId="7" xfId="3" applyNumberFormat="1" applyFont="1" applyBorder="1" applyAlignment="1"/>
    <xf numFmtId="175" fontId="10" fillId="0" borderId="7" xfId="7" applyNumberFormat="1" applyFont="1" applyBorder="1"/>
    <xf numFmtId="9" fontId="10" fillId="0" borderId="13" xfId="2" applyNumberFormat="1" applyFont="1" applyBorder="1"/>
    <xf numFmtId="175" fontId="10" fillId="0" borderId="13" xfId="7" applyNumberFormat="1" applyFont="1" applyBorder="1"/>
    <xf numFmtId="1" fontId="10" fillId="0" borderId="5" xfId="3" applyNumberFormat="1" applyFont="1" applyBorder="1" applyAlignment="1"/>
    <xf numFmtId="0" fontId="25" fillId="0" borderId="0" xfId="8" applyFont="1"/>
    <xf numFmtId="0" fontId="26" fillId="0" borderId="0" xfId="3" applyFont="1"/>
    <xf numFmtId="0" fontId="25" fillId="0" borderId="0" xfId="3" applyFont="1"/>
    <xf numFmtId="0" fontId="13" fillId="0" borderId="0" xfId="3" applyNumberFormat="1" applyFont="1" applyFill="1" applyBorder="1" applyAlignment="1"/>
    <xf numFmtId="0" fontId="13" fillId="0" borderId="0" xfId="3" applyFont="1" applyFill="1" applyBorder="1"/>
    <xf numFmtId="0" fontId="13" fillId="0" borderId="1" xfId="3" applyFont="1" applyFill="1" applyBorder="1" applyAlignment="1">
      <alignment wrapText="1"/>
    </xf>
    <xf numFmtId="0" fontId="13" fillId="0" borderId="1" xfId="3" applyFont="1" applyBorder="1" applyAlignment="1">
      <alignment horizontal="left"/>
    </xf>
    <xf numFmtId="0" fontId="13" fillId="0" borderId="1" xfId="3" applyFont="1" applyBorder="1" applyAlignment="1">
      <alignment horizontal="left" wrapText="1"/>
    </xf>
    <xf numFmtId="0" fontId="13" fillId="0" borderId="1" xfId="3" applyFont="1" applyFill="1" applyBorder="1" applyAlignment="1">
      <alignment horizontal="left" wrapText="1"/>
    </xf>
    <xf numFmtId="175" fontId="13" fillId="0" borderId="1" xfId="3" applyNumberFormat="1" applyFont="1" applyBorder="1" applyAlignment="1">
      <alignment horizontal="left" wrapText="1"/>
    </xf>
    <xf numFmtId="175" fontId="13" fillId="0" borderId="1" xfId="3" applyNumberFormat="1" applyFont="1" applyFill="1" applyBorder="1" applyAlignment="1">
      <alignment horizontal="left" wrapText="1"/>
    </xf>
    <xf numFmtId="175" fontId="13" fillId="0" borderId="1" xfId="7" applyNumberFormat="1" applyFont="1" applyFill="1" applyBorder="1" applyAlignment="1">
      <alignment wrapText="1"/>
    </xf>
    <xf numFmtId="175" fontId="13" fillId="0" borderId="1" xfId="7" applyNumberFormat="1" applyFont="1" applyBorder="1" applyAlignment="1">
      <alignment wrapText="1"/>
    </xf>
    <xf numFmtId="0" fontId="13" fillId="0" borderId="1" xfId="3" applyFont="1" applyBorder="1" applyAlignment="1">
      <alignment horizontal="center" wrapText="1"/>
    </xf>
    <xf numFmtId="0" fontId="13" fillId="0" borderId="3" xfId="3" applyFont="1" applyFill="1" applyBorder="1" applyAlignment="1">
      <alignment wrapText="1"/>
    </xf>
    <xf numFmtId="0" fontId="13" fillId="0" borderId="4" xfId="3" applyFont="1" applyFill="1" applyBorder="1" applyAlignment="1">
      <alignment wrapText="1"/>
    </xf>
    <xf numFmtId="0" fontId="25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/>
    <xf numFmtId="0" fontId="13" fillId="0" borderId="0" xfId="3" applyFont="1" applyFill="1"/>
    <xf numFmtId="3" fontId="13" fillId="0" borderId="0" xfId="3" applyNumberFormat="1" applyFont="1"/>
    <xf numFmtId="170" fontId="13" fillId="0" borderId="1" xfId="3" quotePrefix="1" applyNumberFormat="1" applyFont="1" applyFill="1" applyBorder="1" applyAlignment="1">
      <alignment horizontal="right"/>
    </xf>
    <xf numFmtId="170" fontId="13" fillId="0" borderId="1" xfId="3" applyNumberFormat="1" applyFont="1" applyFill="1" applyBorder="1" applyAlignment="1">
      <alignment horizontal="right"/>
    </xf>
    <xf numFmtId="170" fontId="13" fillId="0" borderId="1" xfId="3" applyNumberFormat="1" applyFont="1" applyFill="1" applyBorder="1" applyAlignment="1">
      <alignment horizontal="right" wrapText="1"/>
    </xf>
    <xf numFmtId="0" fontId="27" fillId="0" borderId="0" xfId="3" applyFont="1"/>
    <xf numFmtId="0" fontId="27" fillId="0" borderId="0" xfId="3" applyFont="1" applyFill="1" applyBorder="1"/>
    <xf numFmtId="0" fontId="28" fillId="0" borderId="0" xfId="3" applyFont="1" applyFill="1" applyBorder="1"/>
    <xf numFmtId="0" fontId="29" fillId="4" borderId="0" xfId="3" applyFont="1" applyFill="1"/>
    <xf numFmtId="0" fontId="30" fillId="4" borderId="0" xfId="3" applyFont="1" applyFill="1"/>
    <xf numFmtId="0" fontId="31" fillId="0" borderId="0" xfId="3" applyFont="1"/>
    <xf numFmtId="0" fontId="32" fillId="0" borderId="0" xfId="3" applyFont="1"/>
    <xf numFmtId="0" fontId="32" fillId="0" borderId="0" xfId="3" applyFont="1" applyFill="1" applyBorder="1"/>
    <xf numFmtId="0" fontId="31" fillId="0" borderId="0" xfId="3" applyFont="1" applyFill="1" applyBorder="1"/>
    <xf numFmtId="0" fontId="29" fillId="0" borderId="0" xfId="3" applyFont="1" applyBorder="1"/>
    <xf numFmtId="0" fontId="29" fillId="0" borderId="0" xfId="3" applyFont="1" applyFill="1" applyBorder="1"/>
    <xf numFmtId="0" fontId="34" fillId="0" borderId="0" xfId="10" applyFont="1"/>
    <xf numFmtId="0" fontId="32" fillId="0" borderId="0" xfId="3" applyFont="1" applyFill="1" applyProtection="1"/>
    <xf numFmtId="3" fontId="32" fillId="0" borderId="0" xfId="3" applyNumberFormat="1" applyFont="1" applyBorder="1"/>
    <xf numFmtId="0" fontId="32" fillId="0" borderId="0" xfId="3" applyFont="1" applyBorder="1"/>
    <xf numFmtId="167" fontId="32" fillId="0" borderId="0" xfId="11" applyNumberFormat="1" applyFont="1" applyFill="1"/>
    <xf numFmtId="174" fontId="32" fillId="0" borderId="0" xfId="3" applyNumberFormat="1" applyFont="1" applyFill="1"/>
    <xf numFmtId="3" fontId="32" fillId="0" borderId="0" xfId="3" applyNumberFormat="1" applyFont="1" applyFill="1"/>
    <xf numFmtId="1" fontId="32" fillId="0" borderId="0" xfId="3" applyNumberFormat="1" applyFont="1" applyFill="1" applyBorder="1"/>
    <xf numFmtId="0" fontId="32" fillId="0" borderId="0" xfId="13" applyFont="1" applyFill="1" applyBorder="1"/>
    <xf numFmtId="0" fontId="34" fillId="0" borderId="0" xfId="10" applyFont="1" applyBorder="1"/>
    <xf numFmtId="0" fontId="32" fillId="0" borderId="0" xfId="3" applyFont="1" applyFill="1" applyBorder="1" applyProtection="1"/>
    <xf numFmtId="167" fontId="32" fillId="0" borderId="0" xfId="11" applyNumberFormat="1" applyFont="1" applyFill="1" applyBorder="1"/>
    <xf numFmtId="174" fontId="32" fillId="0" borderId="0" xfId="3" applyNumberFormat="1" applyFont="1" applyFill="1" applyBorder="1"/>
    <xf numFmtId="3" fontId="32" fillId="0" borderId="0" xfId="3" applyNumberFormat="1" applyFont="1" applyFill="1" applyBorder="1"/>
    <xf numFmtId="1" fontId="32" fillId="0" borderId="0" xfId="3" applyNumberFormat="1" applyFont="1" applyFill="1"/>
    <xf numFmtId="0" fontId="29" fillId="0" borderId="0" xfId="3" applyFont="1"/>
    <xf numFmtId="3" fontId="29" fillId="0" borderId="0" xfId="3" applyNumberFormat="1" applyFont="1" applyFill="1"/>
    <xf numFmtId="167" fontId="32" fillId="0" borderId="0" xfId="11" applyNumberFormat="1" applyFont="1"/>
    <xf numFmtId="2" fontId="32" fillId="0" borderId="0" xfId="3" applyNumberFormat="1" applyFont="1" applyFill="1"/>
    <xf numFmtId="0" fontId="33" fillId="4" borderId="0" xfId="3" applyFont="1" applyFill="1"/>
    <xf numFmtId="0" fontId="34" fillId="0" borderId="0" xfId="3" applyFont="1"/>
    <xf numFmtId="184" fontId="32" fillId="0" borderId="0" xfId="3" applyNumberFormat="1" applyFont="1" applyFill="1" applyBorder="1"/>
    <xf numFmtId="0" fontId="32" fillId="0" borderId="0" xfId="10" applyFont="1"/>
    <xf numFmtId="167" fontId="32" fillId="0" borderId="0" xfId="3" applyNumberFormat="1" applyFont="1" applyFill="1" applyBorder="1"/>
    <xf numFmtId="2" fontId="32" fillId="0" borderId="0" xfId="3" applyNumberFormat="1" applyFont="1" applyFill="1" applyBorder="1"/>
    <xf numFmtId="183" fontId="32" fillId="0" borderId="0" xfId="3" applyNumberFormat="1" applyFont="1" applyFill="1" applyBorder="1"/>
    <xf numFmtId="0" fontId="32" fillId="0" borderId="0" xfId="10" applyFont="1" applyBorder="1"/>
    <xf numFmtId="3" fontId="29" fillId="0" borderId="0" xfId="3" applyNumberFormat="1" applyFont="1" applyFill="1" applyBorder="1"/>
    <xf numFmtId="0" fontId="35" fillId="0" borderId="1" xfId="3" applyFont="1" applyBorder="1"/>
    <xf numFmtId="0" fontId="35" fillId="0" borderId="1" xfId="3" applyFont="1" applyBorder="1" applyAlignment="1">
      <alignment wrapText="1"/>
    </xf>
    <xf numFmtId="0" fontId="35" fillId="0" borderId="1" xfId="3" applyFont="1" applyFill="1" applyBorder="1" applyAlignment="1">
      <alignment wrapText="1"/>
    </xf>
    <xf numFmtId="49" fontId="35" fillId="0" borderId="1" xfId="3" applyNumberFormat="1" applyFont="1" applyFill="1" applyBorder="1" applyAlignment="1">
      <alignment wrapText="1"/>
    </xf>
    <xf numFmtId="0" fontId="35" fillId="0" borderId="1" xfId="3" applyFont="1" applyFill="1" applyBorder="1"/>
    <xf numFmtId="0" fontId="35" fillId="0" borderId="1" xfId="3" applyFont="1" applyFill="1" applyBorder="1" applyAlignment="1">
      <alignment horizontal="center"/>
    </xf>
    <xf numFmtId="0" fontId="35" fillId="0" borderId="1" xfId="3" applyFont="1" applyFill="1" applyBorder="1" applyAlignment="1">
      <alignment horizontal="center" wrapText="1"/>
    </xf>
    <xf numFmtId="0" fontId="32" fillId="0" borderId="0" xfId="3" applyFont="1" applyFill="1"/>
    <xf numFmtId="0" fontId="33" fillId="0" borderId="0" xfId="3" applyFont="1" applyFill="1"/>
    <xf numFmtId="3" fontId="32" fillId="0" borderId="0" xfId="3" applyNumberFormat="1" applyFont="1"/>
    <xf numFmtId="0" fontId="32" fillId="0" borderId="0" xfId="3" applyNumberFormat="1" applyFont="1"/>
    <xf numFmtId="170" fontId="34" fillId="0" borderId="0" xfId="3" applyNumberFormat="1" applyFont="1"/>
    <xf numFmtId="0" fontId="32" fillId="0" borderId="0" xfId="3" applyNumberFormat="1" applyFont="1" applyBorder="1"/>
    <xf numFmtId="0" fontId="34" fillId="0" borderId="0" xfId="3" applyFont="1" applyFill="1"/>
    <xf numFmtId="0" fontId="33" fillId="0" borderId="0" xfId="3" applyFont="1" applyFill="1" applyBorder="1"/>
    <xf numFmtId="0" fontId="36" fillId="0" borderId="0" xfId="3" applyFont="1"/>
    <xf numFmtId="0" fontId="35" fillId="0" borderId="0" xfId="3" applyFont="1"/>
    <xf numFmtId="0" fontId="35" fillId="0" borderId="0" xfId="3" applyFont="1" applyFill="1"/>
    <xf numFmtId="0" fontId="34" fillId="0" borderId="0" xfId="15" applyFont="1"/>
    <xf numFmtId="4" fontId="32" fillId="0" borderId="0" xfId="3" applyNumberFormat="1" applyFont="1" applyFill="1"/>
    <xf numFmtId="4" fontId="29" fillId="0" borderId="0" xfId="3" applyNumberFormat="1" applyFont="1" applyFill="1"/>
    <xf numFmtId="4" fontId="32" fillId="0" borderId="0" xfId="3" applyNumberFormat="1" applyFont="1"/>
    <xf numFmtId="185" fontId="32" fillId="0" borderId="0" xfId="3" applyNumberFormat="1" applyFont="1"/>
    <xf numFmtId="0" fontId="34" fillId="0" borderId="0" xfId="0" applyFont="1"/>
    <xf numFmtId="0" fontId="34" fillId="0" borderId="0" xfId="15" applyFont="1" applyFill="1" applyBorder="1"/>
    <xf numFmtId="4" fontId="32" fillId="0" borderId="0" xfId="3" applyNumberFormat="1" applyFont="1" applyFill="1" applyBorder="1"/>
    <xf numFmtId="4" fontId="29" fillId="0" borderId="0" xfId="3" applyNumberFormat="1" applyFont="1" applyFill="1" applyBorder="1"/>
    <xf numFmtId="3" fontId="29" fillId="0" borderId="0" xfId="3" applyNumberFormat="1" applyFont="1"/>
    <xf numFmtId="0" fontId="29" fillId="0" borderId="0" xfId="3" applyFont="1" applyFill="1"/>
    <xf numFmtId="2" fontId="33" fillId="0" borderId="0" xfId="14" applyNumberFormat="1" applyFont="1" applyFill="1"/>
    <xf numFmtId="0" fontId="33" fillId="0" borderId="1" xfId="15" applyFont="1" applyBorder="1"/>
    <xf numFmtId="0" fontId="33" fillId="0" borderId="1" xfId="15" applyFont="1" applyFill="1" applyBorder="1"/>
    <xf numFmtId="180" fontId="34" fillId="0" borderId="0" xfId="15" applyNumberFormat="1" applyFont="1"/>
    <xf numFmtId="180" fontId="33" fillId="0" borderId="0" xfId="15" applyNumberFormat="1" applyFont="1" applyFill="1"/>
    <xf numFmtId="171" fontId="32" fillId="0" borderId="0" xfId="3" applyNumberFormat="1" applyFont="1"/>
    <xf numFmtId="0" fontId="33" fillId="0" borderId="1" xfId="3" applyFont="1" applyBorder="1"/>
    <xf numFmtId="3" fontId="35" fillId="0" borderId="1" xfId="3" applyNumberFormat="1" applyFont="1" applyBorder="1" applyAlignment="1">
      <alignment wrapText="1"/>
    </xf>
    <xf numFmtId="4" fontId="34" fillId="0" borderId="0" xfId="3" applyNumberFormat="1" applyFont="1"/>
    <xf numFmtId="0" fontId="35" fillId="6" borderId="0" xfId="3" applyFont="1" applyFill="1" applyAlignment="1"/>
    <xf numFmtId="0" fontId="35" fillId="7" borderId="0" xfId="3" applyFont="1" applyFill="1" applyAlignment="1"/>
    <xf numFmtId="0" fontId="35" fillId="8" borderId="0" xfId="3" applyFont="1" applyFill="1" applyAlignment="1"/>
    <xf numFmtId="0" fontId="35" fillId="6" borderId="0" xfId="4" applyFont="1" applyFill="1" applyAlignment="1">
      <alignment horizontal="center" vertical="center" wrapText="1"/>
    </xf>
    <xf numFmtId="4" fontId="35" fillId="6" borderId="0" xfId="4" applyNumberFormat="1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0" fontId="33" fillId="0" borderId="0" xfId="4" applyFont="1"/>
    <xf numFmtId="3" fontId="34" fillId="0" borderId="0" xfId="4" applyNumberFormat="1" applyFont="1"/>
    <xf numFmtId="4" fontId="34" fillId="0" borderId="0" xfId="4" applyNumberFormat="1" applyFont="1"/>
    <xf numFmtId="170" fontId="34" fillId="0" borderId="0" xfId="4" applyNumberFormat="1" applyFont="1"/>
    <xf numFmtId="3" fontId="34" fillId="0" borderId="0" xfId="3" applyNumberFormat="1" applyFont="1"/>
    <xf numFmtId="165" fontId="34" fillId="0" borderId="0" xfId="3" applyNumberFormat="1" applyFont="1"/>
    <xf numFmtId="171" fontId="34" fillId="0" borderId="0" xfId="4" applyNumberFormat="1" applyFont="1"/>
    <xf numFmtId="171" fontId="34" fillId="0" borderId="0" xfId="3" applyNumberFormat="1" applyFont="1"/>
    <xf numFmtId="0" fontId="33" fillId="0" borderId="0" xfId="3" applyFont="1"/>
    <xf numFmtId="1" fontId="34" fillId="0" borderId="0" xfId="3" applyNumberFormat="1" applyFont="1"/>
    <xf numFmtId="0" fontId="33" fillId="0" borderId="0" xfId="4" applyFont="1" applyFill="1"/>
    <xf numFmtId="3" fontId="34" fillId="0" borderId="0" xfId="3" applyNumberFormat="1" applyFont="1" applyFill="1"/>
    <xf numFmtId="170" fontId="34" fillId="0" borderId="0" xfId="4" applyNumberFormat="1" applyFont="1" applyFill="1"/>
    <xf numFmtId="0" fontId="33" fillId="0" borderId="0" xfId="3" applyFont="1" applyAlignment="1">
      <alignment horizontal="right"/>
    </xf>
    <xf numFmtId="1" fontId="34" fillId="0" borderId="0" xfId="4" applyNumberFormat="1" applyFont="1"/>
    <xf numFmtId="0" fontId="34" fillId="0" borderId="0" xfId="4" applyFont="1"/>
    <xf numFmtId="0" fontId="33" fillId="0" borderId="0" xfId="3" applyFont="1" applyFill="1" applyAlignment="1">
      <alignment horizontal="right"/>
    </xf>
    <xf numFmtId="169" fontId="34" fillId="0" borderId="0" xfId="3" applyNumberFormat="1" applyFont="1"/>
    <xf numFmtId="167" fontId="34" fillId="0" borderId="0" xfId="3" applyNumberFormat="1" applyFont="1"/>
    <xf numFmtId="168" fontId="33" fillId="0" borderId="0" xfId="3" applyNumberFormat="1" applyFont="1" applyFill="1"/>
    <xf numFmtId="1" fontId="34" fillId="0" borderId="0" xfId="4" applyNumberFormat="1" applyFont="1" applyFill="1"/>
    <xf numFmtId="4" fontId="34" fillId="0" borderId="0" xfId="4" applyNumberFormat="1" applyFont="1" applyFill="1"/>
    <xf numFmtId="1" fontId="34" fillId="0" borderId="0" xfId="3" applyNumberFormat="1" applyFont="1" applyFill="1"/>
    <xf numFmtId="165" fontId="34" fillId="0" borderId="0" xfId="3" applyNumberFormat="1" applyFont="1" applyFill="1"/>
    <xf numFmtId="166" fontId="34" fillId="0" borderId="0" xfId="3" applyNumberFormat="1" applyFont="1" applyFill="1"/>
    <xf numFmtId="0" fontId="30" fillId="0" borderId="0" xfId="3" applyFont="1"/>
    <xf numFmtId="0" fontId="34" fillId="0" borderId="1" xfId="3" applyFont="1" applyBorder="1"/>
    <xf numFmtId="4" fontId="34" fillId="0" borderId="1" xfId="4" applyNumberFormat="1" applyFont="1" applyBorder="1"/>
    <xf numFmtId="1" fontId="34" fillId="0" borderId="1" xfId="3" applyNumberFormat="1" applyFont="1" applyBorder="1"/>
    <xf numFmtId="3" fontId="34" fillId="0" borderId="1" xfId="3" applyNumberFormat="1" applyFont="1" applyBorder="1"/>
    <xf numFmtId="165" fontId="34" fillId="0" borderId="1" xfId="3" applyNumberFormat="1" applyFont="1" applyBorder="1"/>
    <xf numFmtId="0" fontId="32" fillId="0" borderId="0" xfId="0" applyFont="1" applyFill="1"/>
    <xf numFmtId="0" fontId="32" fillId="0" borderId="0" xfId="10" applyFont="1" applyFill="1"/>
    <xf numFmtId="174" fontId="32" fillId="0" borderId="0" xfId="0" applyNumberFormat="1" applyFont="1" applyFill="1" applyProtection="1"/>
    <xf numFmtId="2" fontId="32" fillId="0" borderId="0" xfId="12" applyNumberFormat="1" applyFont="1" applyFill="1"/>
    <xf numFmtId="2" fontId="29" fillId="0" borderId="0" xfId="12" applyNumberFormat="1" applyFont="1" applyFill="1"/>
    <xf numFmtId="187" fontId="34" fillId="0" borderId="0" xfId="0" applyNumberFormat="1" applyFont="1"/>
    <xf numFmtId="0" fontId="32" fillId="0" borderId="0" xfId="10" applyFont="1" applyFill="1" applyBorder="1"/>
    <xf numFmtId="174" fontId="32" fillId="0" borderId="0" xfId="0" applyNumberFormat="1" applyFont="1" applyFill="1" applyBorder="1" applyProtection="1"/>
    <xf numFmtId="2" fontId="32" fillId="0" borderId="0" xfId="12" applyNumberFormat="1" applyFont="1" applyFill="1" applyBorder="1"/>
    <xf numFmtId="2" fontId="32" fillId="0" borderId="0" xfId="0" applyNumberFormat="1" applyFont="1" applyFill="1"/>
    <xf numFmtId="3" fontId="32" fillId="0" borderId="0" xfId="0" applyNumberFormat="1" applyFont="1" applyFill="1"/>
    <xf numFmtId="173" fontId="29" fillId="0" borderId="0" xfId="0" applyNumberFormat="1" applyFont="1" applyFill="1"/>
    <xf numFmtId="0" fontId="37" fillId="0" borderId="0" xfId="0" applyFont="1"/>
    <xf numFmtId="0" fontId="35" fillId="0" borderId="1" xfId="0" applyFont="1" applyFill="1" applyBorder="1" applyAlignment="1">
      <alignment horizontal="left" wrapText="1"/>
    </xf>
    <xf numFmtId="0" fontId="38" fillId="0" borderId="0" xfId="3" applyFont="1" applyFill="1" applyProtection="1"/>
    <xf numFmtId="0" fontId="38" fillId="0" borderId="0" xfId="6" applyFont="1" applyFill="1" applyProtection="1"/>
    <xf numFmtId="0" fontId="39" fillId="0" borderId="0" xfId="6" applyFont="1" applyFill="1" applyProtection="1"/>
    <xf numFmtId="0" fontId="33" fillId="0" borderId="0" xfId="3" applyFont="1" applyFill="1" applyAlignment="1" applyProtection="1">
      <alignment horizontal="center"/>
    </xf>
    <xf numFmtId="0" fontId="35" fillId="0" borderId="0" xfId="3" applyFont="1" applyFill="1" applyProtection="1"/>
    <xf numFmtId="0" fontId="35" fillId="0" borderId="0" xfId="3" applyFont="1" applyFill="1" applyAlignment="1" applyProtection="1">
      <alignment wrapText="1"/>
    </xf>
    <xf numFmtId="0" fontId="35" fillId="9" borderId="22" xfId="6" applyFont="1" applyFill="1" applyBorder="1" applyAlignment="1">
      <alignment wrapText="1"/>
    </xf>
    <xf numFmtId="0" fontId="35" fillId="9" borderId="0" xfId="6" applyFont="1" applyFill="1" applyBorder="1" applyAlignment="1">
      <alignment wrapText="1"/>
    </xf>
    <xf numFmtId="0" fontId="35" fillId="9" borderId="23" xfId="6" applyFont="1" applyFill="1" applyBorder="1" applyAlignment="1">
      <alignment wrapText="1"/>
    </xf>
    <xf numFmtId="3" fontId="32" fillId="0" borderId="0" xfId="3" applyNumberFormat="1" applyFont="1" applyFill="1" applyProtection="1"/>
    <xf numFmtId="1" fontId="32" fillId="0" borderId="0" xfId="3" applyNumberFormat="1" applyFont="1" applyFill="1" applyProtection="1"/>
    <xf numFmtId="0" fontId="38" fillId="0" borderId="16" xfId="6" applyFont="1" applyBorder="1"/>
    <xf numFmtId="1" fontId="39" fillId="0" borderId="17" xfId="6" applyNumberFormat="1" applyFont="1" applyBorder="1"/>
    <xf numFmtId="1" fontId="39" fillId="0" borderId="18" xfId="6" applyNumberFormat="1" applyFont="1" applyBorder="1"/>
    <xf numFmtId="0" fontId="32" fillId="0" borderId="0" xfId="3" applyFont="1" applyFill="1" applyAlignment="1" applyProtection="1">
      <alignment horizontal="right"/>
    </xf>
    <xf numFmtId="0" fontId="39" fillId="0" borderId="17" xfId="6" applyFont="1" applyBorder="1" applyAlignment="1">
      <alignment horizontal="right"/>
    </xf>
    <xf numFmtId="0" fontId="39" fillId="0" borderId="18" xfId="6" applyFont="1" applyBorder="1" applyAlignment="1">
      <alignment horizontal="right"/>
    </xf>
    <xf numFmtId="0" fontId="38" fillId="0" borderId="19" xfId="6" applyFont="1" applyBorder="1"/>
    <xf numFmtId="1" fontId="39" fillId="0" borderId="20" xfId="6" applyNumberFormat="1" applyFont="1" applyBorder="1"/>
    <xf numFmtId="1" fontId="39" fillId="0" borderId="21" xfId="6" applyNumberFormat="1" applyFont="1" applyBorder="1"/>
    <xf numFmtId="3" fontId="29" fillId="0" borderId="0" xfId="3" applyNumberFormat="1" applyFont="1" applyFill="1" applyProtection="1"/>
    <xf numFmtId="0" fontId="32" fillId="2" borderId="0" xfId="3" applyFont="1" applyFill="1" applyProtection="1"/>
    <xf numFmtId="0" fontId="40" fillId="0" borderId="0" xfId="3" applyFont="1" applyFill="1" applyProtection="1"/>
    <xf numFmtId="3" fontId="35" fillId="0" borderId="0" xfId="3" applyNumberFormat="1" applyFont="1" applyFill="1" applyProtection="1"/>
    <xf numFmtId="9" fontId="32" fillId="0" borderId="0" xfId="2" applyFont="1" applyFill="1" applyProtection="1"/>
    <xf numFmtId="172" fontId="32" fillId="0" borderId="0" xfId="3" applyNumberFormat="1" applyFont="1"/>
    <xf numFmtId="3" fontId="32" fillId="0" borderId="0" xfId="3" applyNumberFormat="1" applyFont="1" applyFill="1" applyBorder="1" applyProtection="1"/>
    <xf numFmtId="9" fontId="29" fillId="0" borderId="0" xfId="2" applyFont="1" applyFill="1" applyProtection="1"/>
    <xf numFmtId="0" fontId="41" fillId="0" borderId="0" xfId="3" applyFont="1" applyFill="1"/>
    <xf numFmtId="3" fontId="41" fillId="0" borderId="0" xfId="3" applyNumberFormat="1" applyFont="1" applyFill="1"/>
    <xf numFmtId="0" fontId="32" fillId="0" borderId="0" xfId="3" applyFont="1" applyFill="1" applyAlignment="1">
      <alignment horizontal="right"/>
    </xf>
    <xf numFmtId="0" fontId="41" fillId="0" borderId="0" xfId="0" applyFont="1"/>
    <xf numFmtId="1" fontId="34" fillId="0" borderId="0" xfId="0" applyNumberFormat="1" applyFont="1"/>
    <xf numFmtId="1" fontId="32" fillId="0" borderId="0" xfId="16" applyNumberFormat="1" applyFont="1"/>
    <xf numFmtId="4" fontId="34" fillId="0" borderId="0" xfId="3" applyNumberFormat="1" applyFont="1" applyFill="1"/>
    <xf numFmtId="0" fontId="41" fillId="0" borderId="0" xfId="3" applyFont="1"/>
    <xf numFmtId="0" fontId="37" fillId="0" borderId="0" xfId="3" applyFont="1"/>
    <xf numFmtId="0" fontId="35" fillId="11" borderId="0" xfId="3" applyFont="1" applyFill="1"/>
    <xf numFmtId="0" fontId="38" fillId="0" borderId="0" xfId="3" applyFont="1" applyFill="1" applyBorder="1" applyProtection="1"/>
    <xf numFmtId="3" fontId="29" fillId="0" borderId="0" xfId="3" applyNumberFormat="1" applyFont="1" applyFill="1" applyBorder="1" applyProtection="1"/>
    <xf numFmtId="172" fontId="29" fillId="0" borderId="0" xfId="3" applyNumberFormat="1" applyFont="1" applyFill="1" applyBorder="1" applyProtection="1"/>
    <xf numFmtId="171" fontId="32" fillId="0" borderId="0" xfId="3" applyNumberFormat="1" applyFont="1" applyFill="1" applyBorder="1" applyProtection="1"/>
    <xf numFmtId="0" fontId="32" fillId="0" borderId="0" xfId="3" applyFont="1" applyFill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35" fillId="9" borderId="16" xfId="0" applyFont="1" applyFill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5" fontId="16" fillId="0" borderId="0" xfId="3" applyNumberFormat="1" applyFont="1" applyFill="1"/>
    <xf numFmtId="0" fontId="13" fillId="5" borderId="0" xfId="3" applyNumberFormat="1" applyFont="1" applyFill="1" applyBorder="1" applyAlignment="1">
      <alignment horizontal="left" vertical="center" wrapText="1"/>
    </xf>
    <xf numFmtId="0" fontId="13" fillId="5" borderId="0" xfId="3" applyNumberFormat="1" applyFont="1" applyFill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1" xfId="3" applyFont="1" applyBorder="1" applyAlignment="1">
      <alignment horizontal="left" vertical="center" wrapText="1"/>
    </xf>
    <xf numFmtId="3" fontId="13" fillId="0" borderId="1" xfId="3" applyNumberFormat="1" applyFont="1" applyBorder="1" applyAlignment="1">
      <alignment horizontal="left" vertical="center" wrapText="1"/>
    </xf>
    <xf numFmtId="0" fontId="13" fillId="10" borderId="1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5" borderId="7" xfId="3" applyNumberFormat="1" applyFont="1" applyFill="1" applyBorder="1" applyAlignment="1">
      <alignment horizontal="left" vertical="center"/>
    </xf>
    <xf numFmtId="0" fontId="13" fillId="10" borderId="7" xfId="3" applyNumberFormat="1" applyFont="1" applyFill="1" applyBorder="1" applyAlignment="1">
      <alignment horizontal="left" vertical="center" wrapText="1"/>
    </xf>
    <xf numFmtId="0" fontId="13" fillId="5" borderId="7" xfId="3" applyNumberFormat="1" applyFont="1" applyFill="1" applyBorder="1" applyAlignment="1">
      <alignment horizontal="left" vertical="center" wrapText="1"/>
    </xf>
    <xf numFmtId="0" fontId="13" fillId="10" borderId="1" xfId="3" applyFont="1" applyFill="1" applyBorder="1" applyAlignment="1">
      <alignment horizontal="left" vertical="center"/>
    </xf>
    <xf numFmtId="0" fontId="13" fillId="5" borderId="6" xfId="3" applyNumberFormat="1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13" fillId="0" borderId="3" xfId="3" applyFont="1" applyFill="1" applyBorder="1" applyAlignment="1">
      <alignment horizontal="left" vertical="center" wrapText="1"/>
    </xf>
    <xf numFmtId="175" fontId="13" fillId="0" borderId="1" xfId="3" applyNumberFormat="1" applyFont="1" applyFill="1" applyBorder="1" applyAlignment="1">
      <alignment horizontal="left" vertical="center" wrapText="1"/>
    </xf>
    <xf numFmtId="0" fontId="13" fillId="5" borderId="1" xfId="3" applyNumberFormat="1" applyFont="1" applyFill="1" applyBorder="1" applyAlignment="1">
      <alignment horizontal="left" vertical="center" wrapText="1"/>
    </xf>
    <xf numFmtId="3" fontId="13" fillId="5" borderId="1" xfId="3" applyNumberFormat="1" applyFont="1" applyFill="1" applyBorder="1" applyAlignment="1">
      <alignment horizontal="left" vertical="center" wrapText="1"/>
    </xf>
    <xf numFmtId="0" fontId="13" fillId="10" borderId="1" xfId="3" applyNumberFormat="1" applyFont="1" applyFill="1" applyBorder="1" applyAlignment="1">
      <alignment horizontal="left" vertical="center" wrapText="1"/>
    </xf>
    <xf numFmtId="0" fontId="13" fillId="5" borderId="24" xfId="3" applyNumberFormat="1" applyFont="1" applyFill="1" applyBorder="1" applyAlignment="1">
      <alignment horizontal="left" vertical="center" wrapText="1"/>
    </xf>
    <xf numFmtId="0" fontId="13" fillId="5" borderId="2" xfId="3" applyNumberFormat="1" applyFont="1" applyFill="1" applyBorder="1" applyAlignment="1">
      <alignment horizontal="left" vertical="center" wrapText="1"/>
    </xf>
    <xf numFmtId="175" fontId="13" fillId="5" borderId="24" xfId="3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7" fillId="0" borderId="0" xfId="0" applyFont="1" applyAlignment="1"/>
    <xf numFmtId="0" fontId="41" fillId="0" borderId="17" xfId="3" applyNumberFormat="1" applyFont="1" applyBorder="1" applyAlignment="1"/>
    <xf numFmtId="0" fontId="41" fillId="0" borderId="17" xfId="15" applyNumberFormat="1" applyFont="1" applyBorder="1" applyAlignment="1"/>
    <xf numFmtId="0" fontId="35" fillId="9" borderId="17" xfId="3" applyNumberFormat="1" applyFont="1" applyFill="1" applyBorder="1" applyAlignment="1"/>
    <xf numFmtId="0" fontId="35" fillId="9" borderId="17" xfId="15" applyNumberFormat="1" applyFont="1" applyFill="1" applyBorder="1" applyAlignment="1"/>
    <xf numFmtId="0" fontId="35" fillId="9" borderId="18" xfId="15" applyNumberFormat="1" applyFont="1" applyFill="1" applyBorder="1" applyAlignment="1"/>
    <xf numFmtId="0" fontId="42" fillId="0" borderId="0" xfId="3" applyFont="1"/>
    <xf numFmtId="175" fontId="10" fillId="0" borderId="0" xfId="7" applyNumberFormat="1" applyFont="1" applyFill="1" applyBorder="1" applyAlignment="1">
      <alignment horizontal="center"/>
    </xf>
    <xf numFmtId="3" fontId="10" fillId="0" borderId="0" xfId="7" applyNumberFormat="1" applyFont="1" applyFill="1" applyBorder="1" applyAlignment="1">
      <alignment horizontal="center"/>
    </xf>
    <xf numFmtId="0" fontId="27" fillId="0" borderId="0" xfId="3" applyFont="1" applyFill="1"/>
    <xf numFmtId="173" fontId="32" fillId="0" borderId="0" xfId="3" applyNumberFormat="1" applyFont="1" applyFill="1"/>
    <xf numFmtId="2" fontId="31" fillId="0" borderId="0" xfId="12" applyNumberFormat="1" applyFont="1" applyFill="1"/>
    <xf numFmtId="182" fontId="32" fillId="0" borderId="0" xfId="3" applyNumberFormat="1" applyFont="1" applyFill="1"/>
    <xf numFmtId="182" fontId="27" fillId="0" borderId="0" xfId="3" applyNumberFormat="1" applyFont="1" applyFill="1"/>
    <xf numFmtId="2" fontId="27" fillId="0" borderId="0" xfId="3" applyNumberFormat="1" applyFont="1" applyFill="1"/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Alignment="1">
      <alignment horizontal="center"/>
    </xf>
    <xf numFmtId="3" fontId="10" fillId="0" borderId="0" xfId="7" applyNumberFormat="1" applyFont="1" applyFill="1" applyBorder="1" applyAlignment="1">
      <alignment horizontal="center"/>
    </xf>
    <xf numFmtId="175" fontId="10" fillId="0" borderId="0" xfId="3" applyNumberFormat="1" applyFont="1" applyFill="1" applyBorder="1" applyAlignment="1">
      <alignment horizontal="center"/>
    </xf>
  </cellXfs>
  <cellStyles count="17">
    <cellStyle name="Erotin 2" xfId="1"/>
    <cellStyle name="Normaali" xfId="0" builtinId="0"/>
    <cellStyle name="Normaali 11" xfId="12"/>
    <cellStyle name="Normaali 13" xfId="15"/>
    <cellStyle name="Normaali 2" xfId="3"/>
    <cellStyle name="Normaali 2 2" xfId="4"/>
    <cellStyle name="Normaali 2 2 2" xfId="6"/>
    <cellStyle name="Normaali 2 3" xfId="14"/>
    <cellStyle name="Normaali 3" xfId="16"/>
    <cellStyle name="Normaali 4" xfId="5"/>
    <cellStyle name="Normaali 5" xfId="11"/>
    <cellStyle name="Normaali 6" xfId="13"/>
    <cellStyle name="Normaali 8" xfId="8"/>
    <cellStyle name="Normaali 9" xfId="10"/>
    <cellStyle name="Normaali 9 2" xfId="9"/>
    <cellStyle name="Prosenttia" xfId="2" builtinId="5"/>
    <cellStyle name="Prosenttia 2" xfId="7"/>
  </cellStyles>
  <dxfs count="7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2"/>
        <name val="Arial Narrow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border outline="0">
        <top style="thin">
          <color theme="4"/>
        </top>
      </border>
    </dxf>
    <dxf>
      <font>
        <strike val="0"/>
        <outline val="0"/>
        <shadow val="0"/>
        <vertAlign val="baseline"/>
        <sz val="12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name val="Arial Narrow"/>
        <scheme val="major"/>
      </font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0"/>
      </font>
      <fill>
        <patternFill patternType="solid">
          <fgColor indexed="64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80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67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67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5" formatCode="0.000\ %"/>
      <alignment horizontal="left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5" formatCode="0.000\ 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9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5" formatCode="0.000\ %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theme="8"/>
        </right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right style="thin">
          <color theme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indexed="64"/>
          <bgColor theme="8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4" formatCode="0.00\ %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0" formatCode="#,##0_ ;[Red]\-#,##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0" formatCode="#,##0_ ;[Red]\-#,##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#,##0_ ;[Red]\-#,##0\ "/>
      <fill>
        <patternFill patternType="solid">
          <fgColor theme="8"/>
          <bgColor theme="8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4" formatCode="0.00\ %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0" formatCode="#,##0_ ;[Red]\-#,##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0" formatCode="#,##0_ ;[Red]\-#,##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theme="8"/>
          <bgColor theme="8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5" name="Taulukko15" displayName="Taulukko15" ref="A13:N308" totalsRowShown="0" headerRowDxfId="701" tableBorderDxfId="700" headerRowCellStyle="Normaali 2">
  <autoFilter ref="A13:N308"/>
  <tableColumns count="14">
    <tableColumn id="1" name="Kommunnummer" dataDxfId="699" dataCellStyle="Normaali 8"/>
    <tableColumn id="2" name="Kommun" dataDxfId="698" dataCellStyle="Normaali 8"/>
    <tableColumn id="3" name="Kod för välfärdsområdet" dataDxfId="697" dataCellStyle="Normaali 2">
      <calculatedColumnFormula>Bestämningsfaktor_kommunvis!C4</calculatedColumnFormula>
    </tableColumn>
    <tableColumn id="4" name="Social- och hälsovårdskostnader, bokslut 2018 " dataDxfId="696" dataCellStyle="Normaali 2"/>
    <tableColumn id="5" name="Kostnaderna för miljö- och hälsoskyddet, 2018 " dataDxfId="695" dataCellStyle="Normaali 2"/>
    <tableColumn id="6" name="Social- och hälsovårdskostnader som överförs, 2018" dataDxfId="694" dataCellStyle="Normaali 2">
      <calculatedColumnFormula>-(D14-E14)</calculatedColumnFormula>
    </tableColumn>
    <tableColumn id="7" name="Social- och hälsovårdskostnader, bokslut 2019 " dataDxfId="693" dataCellStyle="Normaali 2"/>
    <tableColumn id="8" name="Kostnaderna för miljö- och hälsoskyddet, 2019 " dataDxfId="692" dataCellStyle="Normaali 2"/>
    <tableColumn id="9" name="Social- och hälsovårdskostnader som överförs, 2019" dataDxfId="691" dataCellStyle="Normaali 2">
      <calculatedColumnFormula>-(G14-H14)</calculatedColumnFormula>
    </tableColumn>
    <tableColumn id="10" name="Medeltal av de social- och hälsovårdskostnader som överförs 2018 –2019" dataDxfId="690" dataCellStyle="Normaali 2">
      <calculatedColumnFormula>AVERAGE(F14,I14)</calculatedColumnFormula>
    </tableColumn>
    <tableColumn id="11" name="Kommunens andel av medeltalet av de social- och hälsovårdskostnader som överförs i hela landet" dataDxfId="689" dataCellStyle="Prosenttia">
      <calculatedColumnFormula>J14/$J$14</calculatedColumnFormula>
    </tableColumn>
    <tableColumn id="12" name="Social- och hälsovårdskostnader som överförs enligt nivån 2020" dataDxfId="688" dataCellStyle="Normaali 2">
      <calculatedColumnFormula>'Social- och hälsovårdskostnader'!$K14*$L$14</calculatedColumnFormula>
    </tableColumn>
    <tableColumn id="13" name="Arbetsmarknadsstöd, 2019" dataDxfId="687" dataCellStyle="Normaali 2"/>
    <tableColumn id="14" name="Social- och hälsovårdskostnader som överförs till kalkylen per kommun" dataDxfId="686">
      <calculatedColumnFormula>(L14+M14)*1000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0" name="Taulukko20" displayName="Taulukko20" ref="A105:N129" totalsRowShown="0" headerRowDxfId="595" dataDxfId="594" tableBorderDxfId="593" dataCellStyle="Normaali 2">
  <autoFilter ref="A105:N129"/>
  <tableColumns count="14">
    <tableColumn id="1" name="Kod för välfärdsområdet" dataDxfId="592" dataCellStyle="Normaali 2"/>
    <tableColumn id="2" name="Välfärdsområde" dataDxfId="591" dataCellStyle="Normaali 2"/>
    <tableColumn id="3" name="Invånarbaserad andel" dataDxfId="590" dataCellStyle="Normaali 2"/>
    <tableColumn id="4" name="Servicebehovet inom hälso- och sjukvården" dataDxfId="589" dataCellStyle="Normaali 2"/>
    <tableColumn id="5" name="Servicebehovet inom äldreomsorgen" dataDxfId="588" dataCellStyle="Normaali 2"/>
    <tableColumn id="6" name="Servicebehovet inom socialvården" dataDxfId="587" dataCellStyle="Normaali 2"/>
    <tableColumn id="7" name="Inslag av främmandespråkiga" dataDxfId="586" dataCellStyle="Normaali 2"/>
    <tableColumn id="8" name="Tvåspråkighet" dataDxfId="585" dataCellStyle="Normaali 2"/>
    <tableColumn id="9" name="Befolkningstäthet" dataDxfId="584" dataCellStyle="Normaali 2"/>
    <tableColumn id="10" name="Karaktär av skärgård" dataDxfId="583" dataCellStyle="Normaali 2"/>
    <tableColumn id="11" name="Kriteriet för främjande av hälsa och välfärd" dataDxfId="582" dataCellStyle="Normaali 2"/>
    <tableColumn id="12" name="Samiskspråkighet" dataDxfId="581" dataCellStyle="Normaali 2"/>
    <tableColumn id="13" name="Sammanlagt, €" dataDxfId="580" dataCellStyle="Normaali 2"/>
    <tableColumn id="14" name="Sammanlagt, €/inv." dataDxfId="579" dataCellStyle="Normaali 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21" name="Taulukko21" displayName="Taulukko21" ref="A132:N156" totalsRowShown="0" headerRowDxfId="578" dataDxfId="577" tableBorderDxfId="576" dataCellStyle="Normaali 2">
  <autoFilter ref="A132:N156"/>
  <tableColumns count="14">
    <tableColumn id="1" name="Kod för välfärdsområdet" dataDxfId="575" dataCellStyle="Normaali 2"/>
    <tableColumn id="2" name="Välfärdsområde" dataDxfId="574" dataCellStyle="Normaali 2"/>
    <tableColumn id="3" name="Invånarbaserad andel" dataDxfId="573" dataCellStyle="Normaali 2"/>
    <tableColumn id="4" name="Servicebehovet inom hälso- och sjukvården" dataDxfId="572" dataCellStyle="Normaali 2"/>
    <tableColumn id="5" name="Servicebehovet inom äldreomsorgen" dataDxfId="571" dataCellStyle="Normaali 2"/>
    <tableColumn id="6" name="Servicebehovet inom socialvården" dataDxfId="570" dataCellStyle="Normaali 2"/>
    <tableColumn id="7" name="Inslag av främmandespråkiga" dataDxfId="569" dataCellStyle="Normaali 2"/>
    <tableColumn id="8" name="Tvåspråkighet" dataDxfId="568" dataCellStyle="Normaali 2"/>
    <tableColumn id="9" name="Befolkningstäthet" dataDxfId="567" dataCellStyle="Normaali 2"/>
    <tableColumn id="10" name="Karaktär av skärgård" dataDxfId="566" dataCellStyle="Normaali 2"/>
    <tableColumn id="11" name="Kriteriet för främjande av hälsa och välfärd" dataDxfId="565" dataCellStyle="Normaali 2"/>
    <tableColumn id="12" name="Samiskspråkighet" dataDxfId="564" dataCellStyle="Normaali 2"/>
    <tableColumn id="13" name="Sammanlagt, €/inv." dataDxfId="563" dataCellStyle="Normaali 2"/>
    <tableColumn id="14" name="Sammanlagt, €/inv.2" dataDxfId="562" dataCellStyle="Normaali 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2" name="Taulukko22" displayName="Taulukko22" ref="A7:C8" totalsRowShown="0" headerRowDxfId="561" dataDxfId="560" tableBorderDxfId="559" dataCellStyle="Normaali 2">
  <autoFilter ref="A7:C8"/>
  <tableColumns count="3">
    <tableColumn id="1" name="Sammanlagda kostnaderna för räddningsväsendet som överförs från kommunerna:" dataDxfId="558" dataCellStyle="Normaali 2">
      <calculatedColumnFormula>'Räddningskostnader som överförs'!H12</calculatedColumnFormula>
    </tableColumn>
    <tableColumn id="2" name="Befolkningen 2018" dataDxfId="557" dataCellStyle="Normaali 2">
      <calculatedColumnFormula>C40</calculatedColumnFormula>
    </tableColumn>
    <tableColumn id="3" name="Kostnaderna per invånare" dataDxfId="556" dataCellStyle="Normaali 2">
      <calculatedColumnFormula>A8/B8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3" name="Taulukko23" displayName="Taulukko23" ref="A11:E14" totalsRowShown="0" headerRowDxfId="555" headerRowCellStyle="Normaali 2">
  <autoFilter ref="A11:E14"/>
  <tableColumns count="5">
    <tableColumn id="1" name="Kriterium"/>
    <tableColumn id="2" name="Invånarbaserad andel"/>
    <tableColumn id="3" name="Befolkningstäthet"/>
    <tableColumn id="4" name="Riskfaktorer "/>
    <tableColumn id="5" name="Sammanlagt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24" name="Taulukko24" displayName="Taulukko24" ref="A17:E40" totalsRowShown="0" headerRowDxfId="554" headerRowBorderDxfId="553" headerRowCellStyle="Normaali 2">
  <autoFilter ref="A17:E40"/>
  <tableColumns count="5">
    <tableColumn id="1" name="Kod för välfärdsområdet" dataDxfId="552" dataCellStyle="Normaali 2"/>
    <tableColumn id="2" name="Välfärdsområde" dataDxfId="551" dataCellStyle="Normaali 2"/>
    <tableColumn id="3" name="Invånarantal" dataDxfId="550" dataCellStyle="Normaali 2"/>
    <tableColumn id="4" name="Befolkningstäthetskoefficient" dataDxfId="549" dataCellStyle="Normaali 2">
      <calculatedColumnFormula>Bestämningsfaktorer!F30</calculatedColumnFormula>
    </tableColumn>
    <tableColumn id="5" name="Riskkoefficient" dataDxfId="548" dataCellStyle="Normaali 2">
      <calculatedColumnFormula>Bestämningsfaktorer!K30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25" name="Taulukko25" displayName="Taulukko25" ref="A43:G67" totalsRowShown="0" headerRowDxfId="547" dataDxfId="546" headerRowCellStyle="Normaali 2" dataCellStyle="Normaali 2">
  <autoFilter ref="A43:G67"/>
  <tableColumns count="7">
    <tableColumn id="1" name="Kod för välfärdsområdet" dataDxfId="545" dataCellStyle="Normaali 2"/>
    <tableColumn id="2" name="Välfärdsområde" dataDxfId="544" dataCellStyle="Normaali 2"/>
    <tableColumn id="3" name="Invånarbaserad andel" dataDxfId="543" dataCellStyle="Normaali 2"/>
    <tableColumn id="4" name="Befolkningstäthet" dataDxfId="542" dataCellStyle="Normaali 2"/>
    <tableColumn id="5" name="Riskfaktorer" dataDxfId="541" dataCellStyle="Normaali 2"/>
    <tableColumn id="6" name="Sammanlagt, €" dataDxfId="540" dataCellStyle="Normaali 2"/>
    <tableColumn id="7" name="Sammanlagt, €/inv." dataDxfId="539" dataCellStyle="Normaali 2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26" name="Taulukko26" displayName="Taulukko26" ref="A70:G94" totalsRowShown="0" headerRowDxfId="538" dataDxfId="537" headerRowCellStyle="Normaali 2" dataCellStyle="Normaali 2">
  <autoFilter ref="A70:G94"/>
  <tableColumns count="7">
    <tableColumn id="1" name="Kod för välfärdsområdet" dataDxfId="536" dataCellStyle="Normaali 2"/>
    <tableColumn id="2" name="Välfärdsområde" dataDxfId="535" dataCellStyle="Normaali 2"/>
    <tableColumn id="3" name="Invånarbaserad andel" dataDxfId="534" dataCellStyle="Normaali 2"/>
    <tableColumn id="4" name="Befolkningstäthet" dataDxfId="533" dataCellStyle="Normaali 2"/>
    <tableColumn id="5" name="Riskfaktorer" dataDxfId="532" dataCellStyle="Normaali 2"/>
    <tableColumn id="6" name="Sammanlagt, €/inv." dataDxfId="531" dataCellStyle="Normaali 2"/>
    <tableColumn id="7" name="Sammanlagt, €/inv.2" dataDxfId="530" dataCellStyle="Normaali 2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27" name="Taulukko27" displayName="Taulukko27" ref="A9:M32" totalsRowShown="0" headerRowDxfId="529" dataDxfId="527" headerRowBorderDxfId="528" headerRowCellStyle="Normaali 2" dataCellStyle="Normaali 2">
  <autoFilter ref="A9:M32"/>
  <tableColumns count="13">
    <tableColumn id="1" name="Kod för välfärdsområdet" dataDxfId="526" dataCellStyle="Normaali 2"/>
    <tableColumn id="2" name="Välfärdsområde" dataDxfId="525" dataCellStyle="Normaali 2"/>
    <tableColumn id="3" name="Invånarantal" dataDxfId="524" dataCellStyle="Normaali 2"/>
    <tableColumn id="4" name="Kostnader som överförs sammanlagt, €" dataDxfId="523" dataCellStyle="Normaali 2"/>
    <tableColumn id="5" name="Kostnader som överförs, €/inv." dataDxfId="522" dataCellStyle="Normaali 2">
      <calculatedColumnFormula>D10/C10</calculatedColumnFormula>
    </tableColumn>
    <tableColumn id="6" name="Kalkylerad finansiering sammanlagt (hyte-kriteriet med koefficient) €" dataDxfId="521" dataCellStyle="Normaali 2"/>
    <tableColumn id="7" name="Förändring mellan den kalkylerade finansieringen och de kostnader som överförs (hyte-kriteriet med koefficient), €" dataDxfId="520" dataCellStyle="Normaali 2">
      <calculatedColumnFormula>F10-D10</calculatedColumnFormula>
    </tableColumn>
    <tableColumn id="8" name="Kalkylerad finansiering sammanlagt (hyte-kriteriet med koefficient) €/inv." dataDxfId="519" dataCellStyle="Normaali 2">
      <calculatedColumnFormula>F10/C10</calculatedColumnFormula>
    </tableColumn>
    <tableColumn id="9" name="Förändring mellan den kalkylerade finansieringen och de kostnader som överförs (hyte-kriteriet med koefficient), €/inv." dataDxfId="518" dataCellStyle="Normaali 2">
      <calculatedColumnFormula>H10-E10</calculatedColumnFormula>
    </tableColumn>
    <tableColumn id="10" name="Kalkylerad finansiering sammanlagt (hyte-kriteriet €/inv.) €" dataDxfId="517" dataCellStyle="Normaali 2"/>
    <tableColumn id="11" name="Förändring mellan den kalkylerade finansieringen och de kostnader som överförs (hyte-kriteriet €/inv.), €" dataDxfId="516" dataCellStyle="Normaali 2">
      <calculatedColumnFormula>J10-D10</calculatedColumnFormula>
    </tableColumn>
    <tableColumn id="12" name="Kalkylerad finansiering sammanlagt (hyte-kriteriet €/inv.) €/inv." dataDxfId="515" dataCellStyle="Normaali 2">
      <calculatedColumnFormula>J10/C10</calculatedColumnFormula>
    </tableColumn>
    <tableColumn id="13" name="Förändring mellan den kalkylerade finansieringen och de kostnader som överförs (hyte-kriteriet €/inv.), €/inv." dataDxfId="514" dataCellStyle="Normaali 2">
      <calculatedColumnFormula>L10-E10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8" name="Taulukko28" displayName="Taulukko28" ref="A36:K59" totalsRowShown="0" headerRowDxfId="513" dataDxfId="511" headerRowBorderDxfId="512" headerRowCellStyle="Normaali 2" dataCellStyle="Normaali 2">
  <autoFilter ref="A36:K59"/>
  <tableColumns count="11">
    <tableColumn id="1" name="Kod för välfärdsområdet" dataDxfId="510" dataCellStyle="Normaali 2"/>
    <tableColumn id="2" name="Välfärdsområde" dataDxfId="509" dataCellStyle="Normaali 2"/>
    <tableColumn id="3" name="Invånarantal" dataDxfId="508" dataCellStyle="Normaali 2"/>
    <tableColumn id="4" name="Social- och hälsovårdskostnader som överförs, €" dataDxfId="507" dataCellStyle="Normaali 2"/>
    <tableColumn id="5" name="Social- och hälsovårdskostnader som överförs, €/inv." dataDxfId="506" dataCellStyle="Normaali 2">
      <calculatedColumnFormula>D37/C10</calculatedColumnFormula>
    </tableColumn>
    <tableColumn id="6" name="Kalkylerad social- och hälsovårdsfinansiering (hyte-kriteriet med koefficienten) €" dataDxfId="505" dataCellStyle="Normaali 2"/>
    <tableColumn id="7" name="Ändringar (hyte-kriteriet med koefficienten) €" dataDxfId="504" dataCellStyle="Normaali 2">
      <calculatedColumnFormula>F37-D37</calculatedColumnFormula>
    </tableColumn>
    <tableColumn id="8" name="Ändringar (hyte-kriteriet med koefficienten) €/inv." dataDxfId="503" dataCellStyle="Normaali 2">
      <calculatedColumnFormula>G37/C37</calculatedColumnFormula>
    </tableColumn>
    <tableColumn id="9" name="Kalkylerad - och hälsovårdsfinansiering (hyte-kriteriet €/inv.) €" dataDxfId="502" dataCellStyle="Normaali 2"/>
    <tableColumn id="10" name="Ändringar (hyte-kriteriet €/inv.) €" dataDxfId="501" dataCellStyle="Normaali 2">
      <calculatedColumnFormula>I37-D37</calculatedColumnFormula>
    </tableColumn>
    <tableColumn id="11" name="Ändringar (hyte-kriteriet €/inv.) €/inv." dataDxfId="500" dataCellStyle="Normaali 2">
      <calculatedColumnFormula>J37/C37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29" name="Taulukko29" displayName="Taulukko29" ref="A63:I86" totalsRowShown="0" headerRowDxfId="499" dataDxfId="497" headerRowBorderDxfId="498" headerRowCellStyle="Prosenttia 2" dataCellStyle="Prosenttia 2">
  <autoFilter ref="A63:I86"/>
  <tableColumns count="9">
    <tableColumn id="1" name="Kod för välfärdsområdet" dataDxfId="496" dataCellStyle="Normaali 2"/>
    <tableColumn id="2" name="Välfärdsområde" dataDxfId="495" dataCellStyle="Normaali 2"/>
    <tableColumn id="3" name="Invånarantal" dataDxfId="494" dataCellStyle="Normaali 2"/>
    <tableColumn id="4" name="Kostnader för räddningsväsendet som överförs, €" dataDxfId="493" dataCellStyle="Normaali 2"/>
    <tableColumn id="5" name="Kostnaderna för räddningsväsendet överförs, €/inv." dataDxfId="492" dataCellStyle="Normaali 2">
      <calculatedColumnFormula>Taulukko29[[#This Row],[Kostnader för räddningsväsendet som överförs, €]]/Taulukko29[[#This Row],[Invånarantal]]</calculatedColumnFormula>
    </tableColumn>
    <tableColumn id="6" name="Kalkylerad finansiering av räddningsväsendet, €" dataDxfId="491" dataCellStyle="Prosenttia 2"/>
    <tableColumn id="7" name="Kalkylerad finansiering av räddningsväsendet, €/inv." dataDxfId="490" dataCellStyle="Prosenttia 2">
      <calculatedColumnFormula>F64/C64</calculatedColumnFormula>
    </tableColumn>
    <tableColumn id="8" name="Ändringar, €" dataDxfId="489" dataCellStyle="Prosenttia 2"/>
    <tableColumn id="9" name="Ändringar, €/inv." dataDxfId="488" dataCellStyle="Prosenttia 2">
      <calculatedColumnFormula>H64/C64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6" name="Taulukko16" displayName="Taulukko16" ref="P13:R36" totalsRowShown="0" tableBorderDxfId="685">
  <autoFilter ref="P13:R36"/>
  <tableColumns count="3">
    <tableColumn id="1" name="Kod för välfärdsområdet" dataDxfId="684" dataCellStyle="Normaali 2"/>
    <tableColumn id="2" name="Välfärdsområde" dataDxfId="683" dataCellStyle="Normaali 2"/>
    <tableColumn id="3" name="Social- och hälsovårdskostnader som överförs enligt nivån 2020" dataDxfId="682" dataCellStyle="Normaali 2">
      <calculatedColumnFormula>SUMIF(C$15:C$308,P14,N$15:N$308)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30" name="Taulukko30" displayName="Taulukko30" ref="A90:O114" totalsRowShown="0" headerRowDxfId="487" headerRowBorderDxfId="486">
  <autoFilter ref="A90:O114"/>
  <tableColumns count="15">
    <tableColumn id="1" name="Kod för välfärdsområdet" dataDxfId="485" dataCellStyle="Normaali 2"/>
    <tableColumn id="2" name="Välfärdsområde" dataDxfId="484" dataCellStyle="Normaali 2"/>
    <tableColumn id="3" name="Invånarbaserad andel" dataDxfId="483" dataCellStyle="Normaali 2"/>
    <tableColumn id="4" name="Servicebehovet inom hälso- och sjukvården" dataDxfId="482" dataCellStyle="Normaali 2"/>
    <tableColumn id="5" name="Servicebehovet inom äldreomsorgen" dataDxfId="481" dataCellStyle="Normaali 2"/>
    <tableColumn id="6" name="Servicebehovet inom socialvården" dataDxfId="480" dataCellStyle="Normaali 2"/>
    <tableColumn id="7" name="Inslag av främmandespråkiga" dataDxfId="479" dataCellStyle="Normaali 2"/>
    <tableColumn id="8" name="Tvåspråkighet" dataDxfId="478" dataCellStyle="Normaali 2"/>
    <tableColumn id="9" name="Befolkningstäthet" dataDxfId="477" dataCellStyle="Normaali 2"/>
    <tableColumn id="10" name="Karaktär av skärgård" dataDxfId="476" dataCellStyle="Normaali 2"/>
    <tableColumn id="11" name="Kriteriet för främjande av hälsa och välfärd" dataDxfId="475" dataCellStyle="Normaali 2"/>
    <tableColumn id="12" name="Samiskspråkighet" dataDxfId="474" dataCellStyle="Normaali 2"/>
    <tableColumn id="13" name="Riskfaktorer inom räddningsväsendet" dataDxfId="473" dataCellStyle="Normaali 2"/>
    <tableColumn id="14" name="Kalkylerad finansiering, sammanlagt €" dataDxfId="472" dataCellStyle="Normaali 2"/>
    <tableColumn id="15" name="Kalkylerad finansiering, sammanlagt €/inv." dataDxfId="471" dataCellStyle="Normaali 2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31" name="Taulukko31" displayName="Taulukko31" ref="A118:O142" totalsRowShown="0" headerRowDxfId="470" dataDxfId="468" headerRowBorderDxfId="469" headerRowCellStyle="Normaali 2" dataCellStyle="Normaali 2">
  <autoFilter ref="A118:O142"/>
  <tableColumns count="15">
    <tableColumn id="1" name="Kod för välfärdsområdet" dataDxfId="467" dataCellStyle="Normaali 2"/>
    <tableColumn id="2" name="Välfärdsområde" dataDxfId="466" dataCellStyle="Normaali 2"/>
    <tableColumn id="3" name="Invånarbaserad andel" dataDxfId="465" dataCellStyle="Normaali 2"/>
    <tableColumn id="4" name="Servicebehovet inom hälso- och sjukvården" dataDxfId="464" dataCellStyle="Normaali 2"/>
    <tableColumn id="5" name="Servicebehovet inom äldreomsorgen" dataDxfId="463" dataCellStyle="Normaali 2"/>
    <tableColumn id="6" name="Servicebehovet inom socialvården" dataDxfId="462" dataCellStyle="Normaali 2"/>
    <tableColumn id="7" name="Inslag av främmandespråkiga" dataDxfId="461" dataCellStyle="Normaali 2"/>
    <tableColumn id="8" name="Tvåspråkighet" dataDxfId="460" dataCellStyle="Normaali 2"/>
    <tableColumn id="9" name="Befolkningstäthet" dataDxfId="459" dataCellStyle="Normaali 2"/>
    <tableColumn id="10" name="Karaktär av skärgård" dataDxfId="458" dataCellStyle="Normaali 2"/>
    <tableColumn id="11" name="Kriteriet för främjande av hälsa och välfärd" dataDxfId="457" dataCellStyle="Normaali 2"/>
    <tableColumn id="12" name="Samiskspråkighet" dataDxfId="456" dataCellStyle="Normaali 2"/>
    <tableColumn id="13" name="Riskfaktorer inom räddningsväsendet" dataDxfId="455" dataCellStyle="Normaali 2"/>
    <tableColumn id="14" name="Kalkylerad finansiering, sammanlagt €/inv." dataDxfId="454" dataCellStyle="Normaali 2"/>
    <tableColumn id="15" name="Kalkylerad finansiering, sammanlagt €/inv.2" dataDxfId="453" dataCellStyle="Normaali 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32" name="Taulukko32" displayName="Taulukko32" ref="A146:O170" totalsRowShown="0" headerRowDxfId="452" headerRowBorderDxfId="451" headerRowCellStyle="Normaali 2">
  <autoFilter ref="A146:O170"/>
  <tableColumns count="15">
    <tableColumn id="1" name="Kod för välfärdsområdet" dataDxfId="450" dataCellStyle="Normaali 2"/>
    <tableColumn id="2" name="Välfärdsområde" dataDxfId="449" dataCellStyle="Normaali 2"/>
    <tableColumn id="3" name="Invånarbaserad andel" dataDxfId="448" dataCellStyle="Normaali 2"/>
    <tableColumn id="4" name="Servicebehovet inom hälso- och sjukvården" dataDxfId="447" dataCellStyle="Normaali 2"/>
    <tableColumn id="5" name="Servicebehovet inom äldreomsorgen" dataDxfId="446" dataCellStyle="Normaali 2"/>
    <tableColumn id="6" name="Servicebehovet inom socialvården" dataDxfId="445" dataCellStyle="Normaali 2"/>
    <tableColumn id="7" name="Inslag av främmandespråkiga" dataDxfId="444" dataCellStyle="Normaali 2"/>
    <tableColumn id="8" name="Tvåspråkighet" dataDxfId="443" dataCellStyle="Normaali 2"/>
    <tableColumn id="9" name="Befolkningstäthet" dataDxfId="442" dataCellStyle="Normaali 2"/>
    <tableColumn id="10" name="Karaktär av skärgård" dataDxfId="441" dataCellStyle="Normaali 2"/>
    <tableColumn id="11" name="Kriteriet för främjande av hälsa och välfärd" dataDxfId="440" dataCellStyle="Normaali 2"/>
    <tableColumn id="12" name="Samiskspråkighet" dataDxfId="439" dataCellStyle="Normaali 2"/>
    <tableColumn id="13" name="Riskfaktorer inom räddningsväsendet" dataDxfId="438" dataCellStyle="Normaali 2"/>
    <tableColumn id="14" name="Kalkylerad finansiering, sammanlagt €" dataDxfId="437" dataCellStyle="Normaali 2"/>
    <tableColumn id="15" name="Kalkylerad finansiering, sammanlagt €/inv." dataDxfId="436" dataCellStyle="Normaali 2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33" name="Taulukko33" displayName="Taulukko33" ref="A174:O198" totalsRowShown="0" headerRowDxfId="435" dataDxfId="433" headerRowBorderDxfId="434" headerRowCellStyle="Normaali 2" dataCellStyle="Normaali 2">
  <autoFilter ref="A174:O198"/>
  <tableColumns count="15">
    <tableColumn id="1" name="Kod för välfärdsområdet" dataDxfId="432" dataCellStyle="Normaali 2"/>
    <tableColumn id="2" name="Välfärdsområde" dataDxfId="431" dataCellStyle="Normaali 2"/>
    <tableColumn id="3" name="Invånarbaserad andel" dataDxfId="430" dataCellStyle="Normaali 2"/>
    <tableColumn id="4" name="Servicebehovet inom hälso- och sjukvården" dataDxfId="429" dataCellStyle="Normaali 2"/>
    <tableColumn id="5" name="Servicebehovet inom äldreomsorgen" dataDxfId="428" dataCellStyle="Normaali 2"/>
    <tableColumn id="6" name="Servicebehovet inom socialvården" dataDxfId="427" dataCellStyle="Normaali 2"/>
    <tableColumn id="7" name="Inslag av främmandespråkiga" dataDxfId="426" dataCellStyle="Normaali 2"/>
    <tableColumn id="8" name="Tvåspråkighet" dataDxfId="425" dataCellStyle="Normaali 2"/>
    <tableColumn id="9" name="Befolkningstäthet" dataDxfId="424" dataCellStyle="Normaali 2"/>
    <tableColumn id="10" name="Karaktär av skärgård" dataDxfId="423" dataCellStyle="Normaali 2"/>
    <tableColumn id="11" name="Kriteriet för främjande av hälsa och välfärd" dataDxfId="422" dataCellStyle="Normaali 2"/>
    <tableColumn id="12" name="Samiskspråkighet" dataDxfId="421" dataCellStyle="Normaali 2"/>
    <tableColumn id="13" name="Riskfaktorer inom räddningsväsendet" dataDxfId="420" dataCellStyle="Normaali 2"/>
    <tableColumn id="14" name="Kalkylerad finansiering, sammanlagt €/inv." dataDxfId="419" dataCellStyle="Normaali 2"/>
    <tableColumn id="15" name="Kalkylerad finansiering, sammanlagt €/inv.2" dataDxfId="418" dataCellStyle="Normaali 2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34" name="Taulukko34" displayName="Taulukko34" ref="A10:J33" totalsRowShown="0" headerRowDxfId="415" dataDxfId="414" headerRowCellStyle="Normaali 2" dataCellStyle="Normaali 2">
  <autoFilter ref="A10:J33"/>
  <tableColumns count="10">
    <tableColumn id="1" name="Kod för välfärdsområdet" dataDxfId="413" dataCellStyle="Normaali 2"/>
    <tableColumn id="2" name="Välfärdsområde" dataDxfId="412" dataCellStyle="Normaali 2"/>
    <tableColumn id="3" name="Invånarantal" dataDxfId="411" dataCellStyle="Normaali 2"/>
    <tableColumn id="4" name="Kostnader som överförs sammanlagt €" dataDxfId="410" dataCellStyle="Normaali 2"/>
    <tableColumn id="5" name="Kalkylerad finansiering sammanlagt (hyte-kriteriet med koefficient) €/inv." dataDxfId="409" dataCellStyle="Normaali 2"/>
    <tableColumn id="6" name="Förändring mellan den kalkylerade finansieringen och de kostnader som överförs (hyte-kriteriet €/inv.), €" dataDxfId="408" dataCellStyle="Normaali 2">
      <calculatedColumnFormula>E11-D11</calculatedColumnFormula>
    </tableColumn>
    <tableColumn id="7" name="Förändring mellan den kalkylerade finansieringen och de kostnader som överförs (hyte-kriteriet €/inv.), €/inv." dataDxfId="407" dataCellStyle="Normaali 2">
      <calculatedColumnFormula>F11/C11</calculatedColumnFormula>
    </tableColumn>
    <tableColumn id="8" name="Kalkylerad finansiering sammanlagt (hyte-kriteriet med koefficient) €" dataDxfId="406" dataCellStyle="Normaali 2"/>
    <tableColumn id="9" name="Förändring mellan den kalkylerade finansieringen och de kostnader som överförs (hyte-kriteriet med koefficient), €" dataDxfId="405" dataCellStyle="Normaali 2"/>
    <tableColumn id="10" name="Förändring mellan den kalkylerade finansieringen och de kostnader som överförs (hyte-kriteriet med koefficient), €/inv." dataDxfId="404" dataCellStyle="Normaali 2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35" name="Taulukko35" displayName="Taulukko35" ref="A37:J62" totalsRowShown="0" headerRowDxfId="403" dataDxfId="402" headerRowCellStyle="Normaali 2" dataCellStyle="Normaali 2">
  <autoFilter ref="A37:J62"/>
  <tableColumns count="10">
    <tableColumn id="1" name="Kod för välfärdsområdet" dataDxfId="401" dataCellStyle="Normaali 2"/>
    <tableColumn id="2" name="Välfärdsområde" dataDxfId="400" dataCellStyle="Normaali 2"/>
    <tableColumn id="3" name="År" dataDxfId="399" dataCellStyle="Normaali 2"/>
    <tableColumn id="4" name="2023" dataDxfId="398" dataCellStyle="Normaali 2"/>
    <tableColumn id="5" name="2024" dataDxfId="397" dataCellStyle="Normaali 2"/>
    <tableColumn id="6" name="2025" dataDxfId="396" dataCellStyle="Normaali 2"/>
    <tableColumn id="7" name="2026" dataDxfId="395" dataCellStyle="Normaali 2"/>
    <tableColumn id="8" name="2027" dataDxfId="394" dataCellStyle="Normaali 2"/>
    <tableColumn id="9" name="2 028" dataDxfId="393" dataCellStyle="Normaali 2"/>
    <tableColumn id="10" name="2029" dataDxfId="392" dataCellStyle="Normaali 2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36" name="Taulukko36" displayName="Taulukko36" ref="A66:J89" totalsRowShown="0" headerRowDxfId="391" dataDxfId="390" headerRowCellStyle="Normaali 2" dataCellStyle="Normaali 2">
  <autoFilter ref="A66:J89"/>
  <tableColumns count="10">
    <tableColumn id="1" name="Kod för välfärdsområdet" dataDxfId="389" dataCellStyle="Normaali 2"/>
    <tableColumn id="2" name="Välfärdsområde" dataDxfId="388" dataCellStyle="Normaali 2"/>
    <tableColumn id="3" name="Övergångsutjämning min/max euro/invånare " dataDxfId="387" dataCellStyle="Normaali 2"/>
    <tableColumn id="4" name=" +/- 0 €/inv." dataDxfId="386" dataCellStyle="Normaali 2"/>
    <tableColumn id="5" name=" +/- 10 €/inv." dataDxfId="385" dataCellStyle="Normaali 2"/>
    <tableColumn id="6" name=" +/- -30 €/inv." dataDxfId="384" dataCellStyle="Normaali 2"/>
    <tableColumn id="7" name=" +60 €/inv_x000a_/-60€/inv." dataDxfId="383" dataCellStyle="Normaali 2"/>
    <tableColumn id="8" name=" +90 €/inv._x000a_/-75€/inv." dataDxfId="382" dataCellStyle="Normaali 2"/>
    <tableColumn id="9" name=" +150 €/inv._x000a_/-90€/inv." dataDxfId="381" dataCellStyle="Normaali 2"/>
    <tableColumn id="10" name=" +200 €/inv./_x000a_-100€/inv." dataDxfId="380" dataCellStyle="Normaali 2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37" name="Taulukko37" displayName="Taulukko37" ref="A3:J26" totalsRowShown="0" headerRowDxfId="379" headerRowBorderDxfId="378">
  <autoFilter ref="A3:J26"/>
  <tableColumns count="10">
    <tableColumn id="1" name="Kod för välfärdsområdet" dataDxfId="377" dataCellStyle="Normaali 2"/>
    <tableColumn id="2" name="Välfärdsområde" dataDxfId="376" dataCellStyle="Normaali 2"/>
    <tableColumn id="3" name="Invånarantal" dataDxfId="375" dataCellStyle="Normaali 2"/>
    <tableColumn id="4" name="Antalet svenskspråkiga i tvåspråkiga välfärdsområden" dataDxfId="374" dataCellStyle="Normaali 2"/>
    <tableColumn id="5" name="Antalet samiskspråkiga inom välfärdsområdet där kommunerna inom samernas hembygdsområde finns" dataDxfId="373" dataCellStyle="Normaali 2"/>
    <tableColumn id="6" name="Antalet personer med främmande språk som modersmål" dataDxfId="372" dataCellStyle="Normaali 2"/>
    <tableColumn id="7" name="Landareal, km2" dataDxfId="371" dataCellStyle="Normaali 2"/>
    <tableColumn id="8" name="Befolkningstäthet" dataDxfId="370" dataCellStyle="Normaali 5">
      <calculatedColumnFormula>C4/G4</calculatedColumnFormula>
    </tableColumn>
    <tableColumn id="9" name="Befolkningstäthetskoefficient" dataDxfId="369" dataCellStyle="Normaali 2">
      <calculatedColumnFormula>$H$26/H4</calculatedColumnFormula>
    </tableColumn>
    <tableColumn id="10" name="Antalet invånare i skärgården i skärgårdskommunerna" dataDxfId="368" dataCellStyle="Normaali 2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38" name="Taulukko38" displayName="Taulukko38" ref="A29:K52" totalsRowShown="0" headerRowDxfId="367" dataDxfId="365" headerRowBorderDxfId="366" headerRowCellStyle="Normaali 2" dataCellStyle="Normaali 2">
  <autoFilter ref="A29:K52"/>
  <tableColumns count="11">
    <tableColumn id="1" name="Kod för välfärdsområdet" dataDxfId="364" dataCellStyle="Normaali 2"/>
    <tableColumn id="2" name="Välfärdsområde" dataDxfId="363" dataCellStyle="Normaali 2"/>
    <tableColumn id="3" name="Invånarantal" dataDxfId="362" dataCellStyle="Normaali 2"/>
    <tableColumn id="4" name="Totala landarealen" dataDxfId="361" dataCellStyle="Normaali 2"/>
    <tableColumn id="5" name="Befolkningstäthet" dataDxfId="360" dataCellStyle="Normaali 2">
      <calculatedColumnFormula>C30/D30</calculatedColumnFormula>
    </tableColumn>
    <tableColumn id="6" name="Befolkningstäthetskoefficient" dataDxfId="359" dataCellStyle="Normaali 2">
      <calculatedColumnFormula>$E$52/E30</calculatedColumnFormula>
    </tableColumn>
    <tableColumn id="7" name="Riskklassificering I" dataDxfId="358" dataCellStyle="Normaali 2"/>
    <tableColumn id="8" name="Riskklassificering II" dataDxfId="357" dataCellStyle="Normaali 2"/>
    <tableColumn id="9" name="Riskkl. I + Riskkl. II" dataDxfId="356" dataCellStyle="Normaali 2">
      <calculatedColumnFormula>SUM(G30:H30)</calculatedColumnFormula>
    </tableColumn>
    <tableColumn id="10" name="Vägd summa" dataDxfId="355" dataCellStyle="Normaali 2">
      <calculatedColumnFormula>I30/C30</calculatedColumnFormula>
    </tableColumn>
    <tableColumn id="11" name="Riskkoefficient" dataDxfId="354" dataCellStyle="Normaali 2">
      <calculatedColumnFormula>J30/$J$52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9" name="Taulukko39" displayName="Taulukko39" ref="A3:I298" totalsRowShown="0" headerRowDxfId="353" dataDxfId="352" headerRowCellStyle="Normaali 2" dataCellStyle="Normaali 2">
  <autoFilter ref="A3:I298"/>
  <tableColumns count="9">
    <tableColumn id="1" name="Kommunstorlek" dataDxfId="351" dataCellStyle="Normaali 2"/>
    <tableColumn id="2" name="Kommun" dataDxfId="350" dataCellStyle="Normaali 2"/>
    <tableColumn id="3" name="Kod för välfärdsområdet" dataDxfId="349" dataCellStyle="Normaali 2"/>
    <tableColumn id="4" name="Invånarantal" dataDxfId="348" dataCellStyle="Normaali 2"/>
    <tableColumn id="5" name="Svenskspråkiga" dataDxfId="347" dataCellStyle="Normaali 2"/>
    <tableColumn id="6" name="Samiskspråkiga " dataDxfId="346" dataCellStyle="Normaali 2"/>
    <tableColumn id="7" name="Främmande språk" dataDxfId="345" dataCellStyle="Normaali 2"/>
    <tableColumn id="8" name="Landareal " dataDxfId="344" dataCellStyle="Normaali 2"/>
    <tableColumn id="9" name="Befolkningstäthet" dataDxfId="343" dataCellStyle="Normaali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3" name="Taulukko13" displayName="Taulukko13" ref="A11:H306" totalsRowShown="0" headerRowDxfId="681" dataDxfId="680" tableBorderDxfId="679" headerRowCellStyle="Normaali 8" dataCellStyle="Normaali 8">
  <autoFilter ref="A11:H306"/>
  <tableColumns count="8">
    <tableColumn id="1" name="Kommunnummer " dataDxfId="678" dataCellStyle="Normaali 8"/>
    <tableColumn id="2" name="Kommun" dataDxfId="677" dataCellStyle="Normaali 8"/>
    <tableColumn id="3" name="Kod för välfärdsområdet" dataDxfId="676" dataCellStyle="Normaali 2">
      <calculatedColumnFormula>Bestämningsfaktor_kommunvis!C4</calculatedColumnFormula>
    </tableColumn>
    <tableColumn id="4" name="Räddningsväsendets kostnader, bokslut 2018 " dataDxfId="675" dataCellStyle="Normaali 8"/>
    <tableColumn id="5" name="Räddningsväsendets kostnader, bokslut 2019 " dataDxfId="674" dataCellStyle="Normaali 8"/>
    <tableColumn id="6" name="Medeltal av de räddningskostnader som överförs 2018 –2019" dataDxfId="673" dataCellStyle="Normaali 8">
      <calculatedColumnFormula>-AVERAGE(D12:E12)</calculatedColumnFormula>
    </tableColumn>
    <tableColumn id="7" name="Kommunens andel av medeltalet av de räddningskostnader som överförs i hela landet" dataDxfId="672" dataCellStyle="Prosenttia">
      <calculatedColumnFormula>F12/$F$12</calculatedColumnFormula>
    </tableColumn>
    <tableColumn id="8" name="Räddningsväsendets kostnader överförs till kalkylen enligt kommun enligt nivån 2020" dataDxfId="671" dataCellStyle="Normaali 2">
      <calculatedColumnFormula>(G12*$H$12)</calculatedColumnFormula>
    </tableColumn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40" name="Taulukko40" displayName="Taulukko40" ref="K3:R25" totalsRowShown="0" headerRowDxfId="342" dataDxfId="340" headerRowBorderDxfId="341" headerRowCellStyle="Normaali 2" dataCellStyle="Normaali 2">
  <autoFilter ref="K3:R25"/>
  <tableColumns count="8">
    <tableColumn id="1" name="Kod för välfärdsområdet" dataDxfId="339" dataCellStyle="Normaali 2"/>
    <tableColumn id="2" name="Välfärdsområde" dataDxfId="338" dataCellStyle="Normaali 2"/>
    <tableColumn id="3" name="Invånarantal" dataDxfId="337" dataCellStyle="Normaali 2">
      <calculatedColumnFormula>SUMIF($C$5:$C$298,$K4,D$5:D$298)</calculatedColumnFormula>
    </tableColumn>
    <tableColumn id="4" name="Svenskspråkiga" dataDxfId="336" dataCellStyle="Normaali 2">
      <calculatedColumnFormula>SUMIF($C$5:$C$298,$K4,E$5:E$298)</calculatedColumnFormula>
    </tableColumn>
    <tableColumn id="5" name="Samiskspråkiga" dataDxfId="335" dataCellStyle="Normaali 2">
      <calculatedColumnFormula>SUMIF($C$5:$C$298,$K4,F$5:F$298)</calculatedColumnFormula>
    </tableColumn>
    <tableColumn id="6" name="Främmande språk" dataDxfId="334" dataCellStyle="Normaali 2">
      <calculatedColumnFormula>SUMIF($C$5:$C$298,$K4,G$5:G$298)</calculatedColumnFormula>
    </tableColumn>
    <tableColumn id="7" name="Landareal" dataDxfId="333" dataCellStyle="Normaali 2">
      <calculatedColumnFormula>SUMIF($C$5:$C$298,$K4,H$5:H$298)</calculatedColumnFormula>
    </tableColumn>
    <tableColumn id="8" name="Befolkningstäthet" dataDxfId="332" dataCellStyle="Normaali 2">
      <calculatedColumnFormula>SUMIF($C$5:$C$298,$K4,I$5:I$298)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41" name="Taulukko41" displayName="Taulukko41" ref="A3:G27" totalsRowShown="0" headerRowDxfId="331" dataDxfId="329" headerRowBorderDxfId="330" headerRowCellStyle="Normaali 2" dataCellStyle="Normaali 2">
  <autoFilter ref="A3:G27"/>
  <tableColumns count="7">
    <tableColumn id="1" name="Kod för välfärdsområdet" dataDxfId="328" dataCellStyle="Normaali 13"/>
    <tableColumn id="2" name="Välfärdsområde" dataDxfId="327" dataCellStyle="Normaali 2"/>
    <tableColumn id="3" name="Invånarantal 2018" dataDxfId="326" dataCellStyle="Normaali 2"/>
    <tableColumn id="4" name="Processindikatorer " dataDxfId="325" dataCellStyle="Normaali 2"/>
    <tableColumn id="5" name="Resultatindikatorer" dataDxfId="324" dataCellStyle="Normaali 2"/>
    <tableColumn id="6" name="Medelvärde" dataDxfId="323" dataCellStyle="Normaali 2"/>
    <tableColumn id="7" name="Vägd hyte-koefficient i finansieringskalkylen" dataDxfId="322" dataCellStyle="Normaali 2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42" name="Taulukko42" displayName="Taulukko42" ref="A29:O51" totalsRowShown="0" headerRowDxfId="321" dataDxfId="319" headerRowBorderDxfId="320" headerRowCellStyle="Normaali 13" dataCellStyle="Normaali 13">
  <autoFilter ref="A29:O51"/>
  <tableColumns count="15">
    <tableColumn id="1" name="Kod för välfärdsområdet" dataDxfId="318" dataCellStyle="Normaali 13"/>
    <tableColumn id="2" name="Välfärdsområde" dataDxfId="317" dataCellStyle="Normaali 13"/>
    <tableColumn id="3" name="Minimiintervention" dataDxfId="316" dataCellStyle="Normaali 13"/>
    <tableColumn id="4" name="Vaccinationstäckning " dataDxfId="315" dataCellStyle="Normaali 13"/>
    <tableColumn id="5" name="Inspektioner av arbetslösa" dataDxfId="314" dataCellStyle="Normaali 13"/>
    <tableColumn id="6" name="Skolpsykolog" dataDxfId="313" dataCellStyle="Normaali 13"/>
    <tableColumn id="7" name="Skolkurator" dataDxfId="312" dataCellStyle="Normaali 13"/>
    <tableColumn id="8" name="Skador och förgiftningar" dataDxfId="311" dataCellStyle="Normaali 13"/>
    <tableColumn id="9" name="Höftfrakturer" dataDxfId="310" dataCellStyle="Normaali 13"/>
    <tableColumn id="10" name="NEET" dataDxfId="309" dataCellStyle="Normaali 13"/>
    <tableColumn id="11" name="Utkomststöd" dataDxfId="308" dataCellStyle="Normaali 13"/>
    <tableColumn id="12" name="Arbetsoförmåga" dataDxfId="307" dataCellStyle="Normaali 13"/>
    <tableColumn id="13" name="PROCESS. mean" dataDxfId="306" dataCellStyle="Normaali 13"/>
    <tableColumn id="14" name="RESULTAT. mean" dataDxfId="305" dataCellStyle="Normaali 13"/>
    <tableColumn id="15" name="Social- och hälsovårdsmedeltal" dataDxfId="304" dataCellStyle="Normaali 13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1" name="Taulukko1" displayName="Taulukko1" ref="A4:F102" totalsRowShown="0" headerRowDxfId="303">
  <autoFilter ref="A4:F102"/>
  <tableColumns count="6">
    <tableColumn id="1" name="Faktor" dataDxfId="302" dataCellStyle="Normaali 2 2"/>
    <tableColumn id="2" name="Förekomst i materialet"/>
    <tableColumn id="3" name="Frekvens" dataDxfId="301" dataCellStyle="Normaali 2 2"/>
    <tableColumn id="4" name="Regressionskoefficient" dataDxfId="300" dataCellStyle="Normaali 2"/>
    <tableColumn id="5" name="Estimering* frekvens"/>
    <tableColumn id="6" name="Viktad koefficient" dataDxfId="299" dataCellStyle="Normaali 2"/>
  </tableColumns>
  <tableStyleInfo name="TableStyleLight13" showFirstColumn="0" showLastColumn="0" showRowStripes="1" showColumnStripes="0"/>
</table>
</file>

<file path=xl/tables/table34.xml><?xml version="1.0" encoding="utf-8"?>
<table xmlns="http://schemas.openxmlformats.org/spreadsheetml/2006/main" id="8" name="Taulukko8" displayName="Taulukko8" ref="A105:B115" totalsRowShown="0" headerRowDxfId="298" dataDxfId="297">
  <autoFilter ref="A105:B115"/>
  <tableColumns count="2">
    <tableColumn id="1" name="Neutraliserbara parametrar" dataDxfId="296" dataCellStyle="Normaali 2"/>
    <tableColumn id="2" name="Medelvärde/volym för landet" dataDxfId="295" dataCellStyle="Normaali 2"/>
  </tableColumns>
  <tableStyleInfo name="TableStyleLight10" showFirstColumn="0" showLastColumn="0" showRowStripes="1" showColumnStripes="0"/>
</table>
</file>

<file path=xl/tables/table35.xml><?xml version="1.0" encoding="utf-8"?>
<table xmlns="http://schemas.openxmlformats.org/spreadsheetml/2006/main" id="9" name="Taulukko9" displayName="Taulukko9" ref="H4:M35" totalsRowShown="0" headerRowDxfId="294" dataDxfId="293" headerRowCellStyle="Normaali 2 2">
  <autoFilter ref="H4:M35"/>
  <tableColumns count="6">
    <tableColumn id="1" name="Faktor" dataDxfId="292" dataCellStyle="Normaali 2 2"/>
    <tableColumn id="2" name="Förekomst i materialet" dataDxfId="291"/>
    <tableColumn id="3" name="Frekvens" dataDxfId="290" dataCellStyle="Normaali 2 2"/>
    <tableColumn id="4" name="Regressionskoefficient" dataDxfId="289"/>
    <tableColumn id="5" name="Estimering* frekvens" dataDxfId="288"/>
    <tableColumn id="6" name="Viktad koefficient" dataDxfId="287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id="11" name="Taulukko11" displayName="Taulukko11" ref="O4:T37" totalsRowShown="0" headerRowDxfId="286" dataDxfId="285" headerRowCellStyle="Normaali 2 2">
  <autoFilter ref="O4:T37"/>
  <tableColumns count="6">
    <tableColumn id="1" name="Faktor" dataDxfId="284" dataCellStyle="Normaali 2 2"/>
    <tableColumn id="2" name="Förekomst i materialet" dataDxfId="283"/>
    <tableColumn id="3" name="Frekvens" dataDxfId="282" dataCellStyle="Normaali 2 2"/>
    <tableColumn id="4" name="Regressionskoefficient" dataDxfId="281" dataCellStyle="Normaali 2"/>
    <tableColumn id="5" name="Estimering* frekvens" dataDxfId="280"/>
    <tableColumn id="6" name="Vägd koefficient" dataDxfId="279"/>
  </tableColumns>
  <tableStyleInfo name="TableStyleLight12" showFirstColumn="0" showLastColumn="0" showRowStripes="1" showColumnStripes="0"/>
</table>
</file>

<file path=xl/tables/table37.xml><?xml version="1.0" encoding="utf-8"?>
<table xmlns="http://schemas.openxmlformats.org/spreadsheetml/2006/main" id="45" name="Taulukko4246" displayName="Taulukko4246" ref="A4:W95" totalsRowShown="0" headerRowDxfId="278" dataDxfId="277">
  <autoFilter ref="A4:W95"/>
  <tableColumns count="23">
    <tableColumn id="1" name="Variabel" dataDxfId="276"/>
    <tableColumn id="2" name="Egentliga Finland" dataDxfId="275"/>
    <tableColumn id="3" name="Satakunta" dataDxfId="274"/>
    <tableColumn id="4" name="Egentliga Tavastland" dataDxfId="273"/>
    <tableColumn id="5" name="Birkaland" dataDxfId="272"/>
    <tableColumn id="6" name="Päijänne-Tavastland" dataDxfId="271"/>
    <tableColumn id="7" name="Kymmenedalen" dataDxfId="270"/>
    <tableColumn id="8" name="Södra Karelen" dataDxfId="269"/>
    <tableColumn id="9" name="Södra Savolax" dataDxfId="268"/>
    <tableColumn id="10" name="Norra Savolax" dataDxfId="267"/>
    <tableColumn id="11" name="Norra Karelen" dataDxfId="266"/>
    <tableColumn id="12" name="Mellersta Finland" dataDxfId="265"/>
    <tableColumn id="13" name="Södra Österbotten" dataDxfId="264"/>
    <tableColumn id="14" name="Österbotten" dataDxfId="263"/>
    <tableColumn id="15" name="Mellersta Österbotten" dataDxfId="262"/>
    <tableColumn id="16" name="Norra Österbotten" dataDxfId="261"/>
    <tableColumn id="17" name="Kajanaland" dataDxfId="260"/>
    <tableColumn id="18" name="Lappland" dataDxfId="259"/>
    <tableColumn id="19" name="Helsingfors" dataDxfId="258"/>
    <tableColumn id="20" name="Vanda-Kervo" dataDxfId="257"/>
    <tableColumn id="21" name="Västra Nyland" dataDxfId="256"/>
    <tableColumn id="22" name="Östra Nyland" dataDxfId="255"/>
    <tableColumn id="23" name="Mellersta Nyland" dataDxfId="254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46" name="Taulukko4347" displayName="Taulukko4347" ref="A4:W30" totalsRowShown="0" headerRowDxfId="253" dataDxfId="252" headerRowCellStyle="Normaali 13" dataCellStyle="Normaali 3">
  <autoFilter ref="A4:W30"/>
  <tableColumns count="23">
    <tableColumn id="1" name="Variabel" dataDxfId="251" dataCellStyle="Normaali 3"/>
    <tableColumn id="2" name="Egentliga Finland" dataDxfId="250" dataCellStyle="Normaali 3"/>
    <tableColumn id="3" name="Satakunta" dataDxfId="249" dataCellStyle="Normaali 3"/>
    <tableColumn id="4" name="Egentliga Tavastland" dataDxfId="248" dataCellStyle="Normaali 3"/>
    <tableColumn id="5" name="Birkaland" dataDxfId="247" dataCellStyle="Normaali 3"/>
    <tableColumn id="6" name="Päijänne-Tavastland" dataDxfId="246" dataCellStyle="Normaali 3"/>
    <tableColumn id="7" name="Kymmenedalen" dataDxfId="245" dataCellStyle="Normaali 3"/>
    <tableColumn id="8" name="Södra Karelen" dataDxfId="244" dataCellStyle="Normaali 3"/>
    <tableColumn id="9" name="Södra Savolax" dataDxfId="243" dataCellStyle="Normaali 3"/>
    <tableColumn id="10" name="Norra Savolax" dataDxfId="242" dataCellStyle="Normaali 3"/>
    <tableColumn id="11" name="Norra Karelen" dataDxfId="241" dataCellStyle="Normaali 3"/>
    <tableColumn id="12" name="Mellersta Finland" dataDxfId="240" dataCellStyle="Normaali 3"/>
    <tableColumn id="13" name="Södra Österbotten" dataDxfId="239" dataCellStyle="Normaali 3"/>
    <tableColumn id="14" name="Österbotten" dataDxfId="238" dataCellStyle="Normaali 3"/>
    <tableColumn id="15" name="Mellersta Österbotten" dataDxfId="237" dataCellStyle="Normaali 3"/>
    <tableColumn id="16" name="Norra Österbotten" dataDxfId="236" dataCellStyle="Normaali 3"/>
    <tableColumn id="17" name="Kajanaland" dataDxfId="235" dataCellStyle="Normaali 3"/>
    <tableColumn id="18" name="Lappland" dataDxfId="234" dataCellStyle="Normaali 3"/>
    <tableColumn id="19" name="Helsingfors" dataDxfId="233" dataCellStyle="Normaali 3"/>
    <tableColumn id="20" name="Vanda-Kervo" dataDxfId="232" dataCellStyle="Normaali 3"/>
    <tableColumn id="21" name="Västra Nyland" dataDxfId="231" dataCellStyle="Normaali 3"/>
    <tableColumn id="22" name="Östra Nyland" dataDxfId="230" dataCellStyle="Normaali 3"/>
    <tableColumn id="23" name="Mellersta Nyland" dataDxfId="229" dataCellStyle="Normaali 3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47" name="Taulukko46" displayName="Taulukko46" ref="A4:W32" totalsRowShown="0" headerRowDxfId="228" dataDxfId="227">
  <autoFilter ref="A4:W32"/>
  <tableColumns count="23">
    <tableColumn id="1" name="Variabel" dataDxfId="226"/>
    <tableColumn id="2" name="Egentliga Finland" dataDxfId="225"/>
    <tableColumn id="3" name="Satakunta" dataDxfId="224"/>
    <tableColumn id="4" name="Egentliga Tavastland" dataDxfId="223"/>
    <tableColumn id="5" name="Birkaland" dataDxfId="222"/>
    <tableColumn id="6" name="Päijänne-Tavastland" dataDxfId="221"/>
    <tableColumn id="7" name="Kymmenedalen" dataDxfId="220"/>
    <tableColumn id="8" name="Södra Karelen" dataDxfId="219"/>
    <tableColumn id="9" name="Södra Savolax" dataDxfId="218"/>
    <tableColumn id="10" name="Norra Savolax" dataDxfId="217"/>
    <tableColumn id="11" name="Norra Karelen" dataDxfId="216"/>
    <tableColumn id="12" name="Mellersta Finland" dataDxfId="215"/>
    <tableColumn id="13" name="Södra Österbotten" dataDxfId="214"/>
    <tableColumn id="14" name="Österbotten" dataDxfId="213"/>
    <tableColumn id="15" name="Mellersta Österbotten" dataDxfId="212"/>
    <tableColumn id="16" name="Norra Österbotten" dataDxfId="211"/>
    <tableColumn id="17" name="Kajanaland" dataDxfId="210"/>
    <tableColumn id="18" name="Lappland" dataDxfId="209"/>
    <tableColumn id="19" name="Helsingfors" dataDxfId="208"/>
    <tableColumn id="20" name="Vanda-Kervo" dataDxfId="207"/>
    <tableColumn id="21" name="Västra Nyland" dataDxfId="206"/>
    <tableColumn id="22" name="Östra Nyland" dataDxfId="205"/>
    <tableColumn id="23" name="Mellersta Nyland" dataDxfId="20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4" name="Taulukko14" displayName="Taulukko14" ref="J11:L34" totalsRowShown="0" tableBorderDxfId="670">
  <autoFilter ref="J11:L34"/>
  <tableColumns count="3">
    <tableColumn id="1" name="Kod för välfärdsområdet" dataDxfId="669" dataCellStyle="Normaali 2"/>
    <tableColumn id="2" name="Välfärdsområde" dataDxfId="668" dataCellStyle="Normaali 2"/>
    <tableColumn id="3" name="De kostnader för räddningsväsendet som överförs enligt nivån 2020" dataDxfId="667" dataCellStyle="Normaali 2">
      <calculatedColumnFormula>SUMIF(C$13:C$306,J12,H$13:H$306)</calculatedColumnFormula>
    </tableColumn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3" name="Taulukko43" displayName="Taulukko43" ref="A2:R25" totalsRowShown="0" headerRowDxfId="203" dataDxfId="201" headerRowBorderDxfId="202" dataCellStyle="Normaali 11">
  <autoFilter ref="A2:R25"/>
  <tableColumns count="18">
    <tableColumn id="1" name="Kod för välfärdsområdet" dataDxfId="200" dataCellStyle="Normaali 2"/>
    <tableColumn id="2" name="Välfärdsområde" dataDxfId="199" dataCellStyle="Normaali 2"/>
    <tableColumn id="3" name="Invånarantal" dataDxfId="198" dataCellStyle="Normaali 2"/>
    <tableColumn id="4" name="Hälsovårdens sektorsvikt" dataDxfId="197"/>
    <tableColumn id="5" name="Äldrevårdens sektorsvikt" dataDxfId="196"/>
    <tableColumn id="6" name="Socialvårdens sektorsvikt" dataDxfId="195"/>
    <tableColumn id="7" name="Behovskoefficient för hälsovård" dataDxfId="194"/>
    <tableColumn id="8" name="Behovskoefficient för äldrevård" dataDxfId="193"/>
    <tableColumn id="9" name="Behovskoefficient för socialvård" dataDxfId="192"/>
    <tableColumn id="10" name="Sammanlagt" dataDxfId="191" dataCellStyle="Normaali 11"/>
    <tableColumn id="11" name="Behovskoefficient för hälsovården vägd med invånarantalet 2018" dataDxfId="190" dataCellStyle="Normaali 11"/>
    <tableColumn id="12" name="Behovskoefficienten för äldrevården vägd med invånarantalet 2018" dataDxfId="189" dataCellStyle="Normaali 11"/>
    <tableColumn id="13" name="Behovskoefficient för socialvård vägd med invånarantalet 2018" dataDxfId="188" dataCellStyle="Normaali 11"/>
    <tableColumn id="14" name="Sammanlagt2" dataDxfId="187" dataCellStyle="Normaali 11"/>
    <tableColumn id="15" name="Servicebehovskoefficient för hälsovård som används vid beräkningen" dataDxfId="186" dataCellStyle="Normaali 11"/>
    <tableColumn id="16" name="Servicebehovskoefficient för äldrevård som används vid beräkningen" dataDxfId="185" dataCellStyle="Normaali 11"/>
    <tableColumn id="17" name="Servicebehovskoefficient för socialvård som används vid beräkningen" dataDxfId="184" dataCellStyle="Normaali 11"/>
    <tableColumn id="18" name="Servicebehovskoefficient sammanlagt" dataDxfId="183" dataCellStyle="Normaali 11">
      <calculatedColumnFormula>J3/$N$25</calculatedColumnFormula>
    </tableColumn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2" name="Taulukko2" displayName="Taulukko2" ref="A4:BC48" totalsRowShown="0" headerRowDxfId="182" dataDxfId="181" headerRowCellStyle="Normaali 2" dataCellStyle="Normaali 2">
  <autoFilter ref="A4:BC48"/>
  <tableColumns count="55">
    <tableColumn id="1" name="Den kommunala ekonomin på fastlandet sammanlagt" dataDxfId="180" dataCellStyle="Normaali 2 2 2"/>
    <tableColumn id="2" name="Social- och hälsovården sammanlagt" dataDxfId="179" dataCellStyle="Normaali 2"/>
    <tableColumn id="3" name="Allmän förvaltning" dataDxfId="178" dataCellStyle="Normaali 2"/>
    <tableColumn id="4" name="Institutions- och familjevård inom barnskydd" dataDxfId="177" dataCellStyle="Normaali 2"/>
    <tableColumn id="5" name="Öppen vård inom barnskyddet" dataDxfId="176" dataCellStyle="Normaali 2"/>
    <tableColumn id="6" name="Annan barn- och familjevård" dataDxfId="175" dataCellStyle="Normaali 2"/>
    <tableColumn id="7" name="Institutionsvård för äldre" dataDxfId="174" dataCellStyle="Normaali 2"/>
    <tableColumn id="8" name="Boendeservice inom heldygnsomsorgen för äldre" dataDxfId="173" dataCellStyle="Normaali 2"/>
    <tableColumn id="9" name="Övrig äldreservice" dataDxfId="172" dataCellStyle="Normaali 2"/>
    <tableColumn id="10" name="Institutionsvård för personer med funktionsnedsättning" dataDxfId="171" dataCellStyle="Normaali 2"/>
    <tableColumn id="11" name="Boendeservice inom heldygnsomsorgen för personer med funktionsnedsättning" dataDxfId="170" dataCellStyle="Normaali 2"/>
    <tableColumn id="12" name="Övrig service för personer med funktionsnedsättning" dataDxfId="169" dataCellStyle="Normaali 2"/>
    <tableColumn id="13" name="Hemvård" dataDxfId="168" dataCellStyle="Normaali 2"/>
    <tableColumn id="14" name="Sysselsättningsfrämjande service" dataDxfId="167" dataCellStyle="Normaali 2"/>
    <tableColumn id="15" name="Särskild service inom missbrukarvården" dataDxfId="166" dataCellStyle="Normaali 2"/>
    <tableColumn id="16" name="Öppenvård inom primärvården" dataDxfId="165" dataCellStyle="Normaali 2"/>
    <tableColumn id="17" name="Mun- och tandvård" dataDxfId="164" dataCellStyle="Normaali 2"/>
    <tableColumn id="18" name="Vårdavdelningsvård inom primärvården" dataDxfId="163" dataCellStyle="Normaali 2"/>
    <tableColumn id="19" name="Specialiserad sjukvård" dataDxfId="162" dataCellStyle="Normaali 2"/>
    <tableColumn id="20" name="Miljö- och hälsoskydd" dataDxfId="161" dataCellStyle="Normaali 2"/>
    <tableColumn id="21" name="Övrig social- och hälsovård" dataDxfId="160" dataCellStyle="Normaali 2"/>
    <tableColumn id="22" name="Småbarnspedagogik" dataDxfId="159" dataCellStyle="Normaali 2"/>
    <tableColumn id="23" name="Förskoleundervisning" dataDxfId="158" dataCellStyle="Normaali 2"/>
    <tableColumn id="24" name="Grundläggande utbildning" dataDxfId="157" dataCellStyle="Normaali 2"/>
    <tableColumn id="25" name="Gymnasieutbildning" dataDxfId="156" dataCellStyle="Normaali 2"/>
    <tableColumn id="26" name="Yrkesutbildning" dataDxfId="155" dataCellStyle="Normaali 2"/>
    <tableColumn id="27" name="Fritt bildningsarbete vid medborgarinstitut" dataDxfId="154" dataCellStyle="Normaali 2"/>
    <tableColumn id="28" name="Grundläggande konstundervisning" dataDxfId="153" dataCellStyle="Normaali 2"/>
    <tableColumn id="29" name="Övrig undervisningsverksamhet" dataDxfId="152" dataCellStyle="Normaali 2"/>
    <tableColumn id="30" name="Biblioteksverksamhet" dataDxfId="151" dataCellStyle="Normaali 2"/>
    <tableColumn id="31" name="Idrott och friluftsliv" dataDxfId="150" dataCellStyle="Normaali 2"/>
    <tableColumn id="32" name="Ungdomsverksamhet" dataDxfId="149" dataCellStyle="Normaali 2"/>
    <tableColumn id="33" name="Musei- och utställningsverksamhet" dataDxfId="148" dataCellStyle="Normaali 2"/>
    <tableColumn id="34" name="Teater-, dans- och cirkusverksamhet" dataDxfId="147" dataCellStyle="Normaali 2"/>
    <tableColumn id="35" name="Musikverksamhet" dataDxfId="146" dataCellStyle="Normaali 2"/>
    <tableColumn id="36" name="Övrig kulturverksamhet" dataDxfId="145" dataCellStyle="Normaali 2"/>
    <tableColumn id="37" name="Undervisnings- och kulturverksamhet sammanlagt" dataDxfId="144" dataCellStyle="Normaali 2"/>
    <tableColumn id="38" name="Samhällsplanering" dataDxfId="143" dataCellStyle="Normaali 2"/>
    <tableColumn id="39" name="Byggnadstillsyn" dataDxfId="142" dataCellStyle="Normaali 2"/>
    <tableColumn id="40" name="Miljövård" dataDxfId="141" dataCellStyle="Normaali 2"/>
    <tableColumn id="41" name="Trafikleder" dataDxfId="140" dataCellStyle="Normaali 2"/>
    <tableColumn id="42" name="Parker och allmänna områden" dataDxfId="139" dataCellStyle="Normaali 2"/>
    <tableColumn id="43" name="Brand- och räddningsverksamhet" dataDxfId="138" dataCellStyle="Normaali 2"/>
    <tableColumn id="44" name="Avbytarservice" dataDxfId="137" dataCellStyle="Normaali 2"/>
    <tableColumn id="45" name="Byggnader och lokaler samt uthyrning" dataDxfId="136" dataCellStyle="Normaali 2"/>
    <tableColumn id="46" name="Stödtjänster" dataDxfId="135" dataCellStyle="Normaali 2"/>
    <tableColumn id="47" name="Främjande av näringslivet" dataDxfId="134" dataCellStyle="Normaali 2"/>
    <tableColumn id="48" name="Vattentjänster" dataDxfId="133" dataCellStyle="Normaali 2"/>
    <tableColumn id="49" name="Energiförsörjning" dataDxfId="132" dataCellStyle="Normaali 2"/>
    <tableColumn id="50" name="Avfallshantering" dataDxfId="131" dataCellStyle="Normaali 2"/>
    <tableColumn id="51" name="Kollektivtrafik" dataDxfId="130" dataCellStyle="Normaali 2"/>
    <tableColumn id="52" name="Hamnverksamhet" dataDxfId="129" dataCellStyle="Normaali 2"/>
    <tableColumn id="53" name="Jord- och skogsbrukslägenheter" dataDxfId="128" dataCellStyle="Normaali 2"/>
    <tableColumn id="54" name="Annan verksamhet" dataDxfId="127" dataCellStyle="Normaali 2"/>
    <tableColumn id="55" name="Driftsekonomi sammanlagt" dataDxfId="126" dataCellStyle="Normaali 2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3" name="Taulukko3" displayName="Taulukko3" ref="BE4:DG48" totalsRowShown="0" headerRowDxfId="125" dataDxfId="124" headerRowCellStyle="Normaali 2" dataCellStyle="Normaali 2">
  <autoFilter ref="BE4:DG48"/>
  <tableColumns count="55">
    <tableColumn id="1" name="Fastlandsfinlands kommuner sammanlagt" dataDxfId="123" dataCellStyle="Normaali 2 2 2"/>
    <tableColumn id="2" name="Social- och hälsovården sammanlagt" dataDxfId="122" dataCellStyle="Normaali 2"/>
    <tableColumn id="3" name="Allmän förvaltning" dataDxfId="121" dataCellStyle="Normaali 2"/>
    <tableColumn id="4" name="Institutions- och familjevård inom barnskydd" dataDxfId="120" dataCellStyle="Normaali 2"/>
    <tableColumn id="5" name="Öppen vård inom barnskyddet" dataDxfId="119" dataCellStyle="Normaali 2"/>
    <tableColumn id="6" name="Annan barn- och familjevård" dataDxfId="118" dataCellStyle="Normaali 2"/>
    <tableColumn id="7" name="Institutionsvård för äldre" dataDxfId="117" dataCellStyle="Normaali 2"/>
    <tableColumn id="8" name="Boendeservice inom heldygnsomsorgen för äldre" dataDxfId="116" dataCellStyle="Normaali 2"/>
    <tableColumn id="9" name="Övrig äldreservice" dataDxfId="115" dataCellStyle="Normaali 2"/>
    <tableColumn id="10" name="Institutionsvård för personer med funktionsnedsättning" dataDxfId="114" dataCellStyle="Normaali 2"/>
    <tableColumn id="11" name="Boendeservice inom heldygnsomsorgen för personer med funktionsnedsättning" dataDxfId="113" dataCellStyle="Normaali 2"/>
    <tableColumn id="12" name="Övrig service för personer med funktionsnedsättning" dataDxfId="112" dataCellStyle="Normaali 2"/>
    <tableColumn id="13" name="Hemvård" dataDxfId="111" dataCellStyle="Normaali 2"/>
    <tableColumn id="14" name="Sysselsättningsfrämjande service" dataDxfId="110" dataCellStyle="Normaali 2"/>
    <tableColumn id="15" name="Särskild service inom missbrukarvården" dataDxfId="109" dataCellStyle="Normaali 2"/>
    <tableColumn id="16" name="Öppenvård inom primärvården" dataDxfId="108" dataCellStyle="Normaali 2"/>
    <tableColumn id="17" name="Mun- och tandvård" dataDxfId="107" dataCellStyle="Normaali 2"/>
    <tableColumn id="18" name="Vårdavdelningsvård inom primärvården" dataDxfId="106" dataCellStyle="Normaali 2"/>
    <tableColumn id="19" name="Specialiserad sjukvård" dataDxfId="105" dataCellStyle="Normaali 2"/>
    <tableColumn id="20" name="Miljö- och hälsoskydd" dataDxfId="104" dataCellStyle="Normaali 2"/>
    <tableColumn id="21" name="Övrig social- och hälsovård" dataDxfId="103" dataCellStyle="Normaali 2"/>
    <tableColumn id="22" name="Småbarnspedagogik" dataDxfId="102" dataCellStyle="Normaali 2"/>
    <tableColumn id="23" name="Förskoleundervisning" dataDxfId="101" dataCellStyle="Normaali 2"/>
    <tableColumn id="24" name="Grundläggande utbildning" dataDxfId="100" dataCellStyle="Normaali 2"/>
    <tableColumn id="25" name="Gymnasieutbildning" dataDxfId="99" dataCellStyle="Normaali 2"/>
    <tableColumn id="26" name="Yrkesutbildning" dataDxfId="98" dataCellStyle="Normaali 2"/>
    <tableColumn id="27" name="Fritt bildningsarbete vid medborgarinstitut" dataDxfId="97" dataCellStyle="Normaali 2"/>
    <tableColumn id="28" name="Grundläggande konstundervisning" dataDxfId="96" dataCellStyle="Normaali 2"/>
    <tableColumn id="29" name="Övrig undervisningsverksamhet" dataDxfId="95" dataCellStyle="Normaali 2"/>
    <tableColumn id="30" name="Biblioteksverksamhet" dataDxfId="94" dataCellStyle="Normaali 2"/>
    <tableColumn id="31" name="Idrott och friluftsliv" dataDxfId="93" dataCellStyle="Normaali 2"/>
    <tableColumn id="32" name="Ungdomsverksamhet" dataDxfId="92" dataCellStyle="Normaali 2"/>
    <tableColumn id="33" name="Musei- och utställningsverksamhet" dataDxfId="91" dataCellStyle="Normaali 2"/>
    <tableColumn id="34" name="Teater-, dans- och cirkusverksamhet" dataDxfId="90" dataCellStyle="Normaali 2"/>
    <tableColumn id="35" name="Musikverksamhet" dataDxfId="89" dataCellStyle="Normaali 2"/>
    <tableColumn id="36" name="Övrig kulturverksamhet" dataDxfId="88" dataCellStyle="Normaali 2"/>
    <tableColumn id="37" name="Undervisnings- och kulturverksamhet sammanlagt" dataDxfId="87" dataCellStyle="Normaali 2"/>
    <tableColumn id="38" name="Samhällsplanering" dataDxfId="86" dataCellStyle="Normaali 2"/>
    <tableColumn id="39" name="Byggnadstillsyn" dataDxfId="85" dataCellStyle="Normaali 2"/>
    <tableColumn id="40" name="Miljövård" dataDxfId="84" dataCellStyle="Normaali 2"/>
    <tableColumn id="41" name="Trafikleder" dataDxfId="83" dataCellStyle="Normaali 2"/>
    <tableColumn id="42" name="Parker och allmänna områden" dataDxfId="82" dataCellStyle="Normaali 2"/>
    <tableColumn id="43" name="Brand- och räddningsverksamhet" dataDxfId="81" dataCellStyle="Normaali 2"/>
    <tableColumn id="44" name="Avbytarservice" dataDxfId="80" dataCellStyle="Normaali 2"/>
    <tableColumn id="45" name="Byggnader och lokaler samt uthyrning" dataDxfId="79" dataCellStyle="Normaali 2"/>
    <tableColumn id="46" name="Stödtjänster" dataDxfId="78" dataCellStyle="Normaali 2"/>
    <tableColumn id="47" name="Främjande av näringslivet" dataDxfId="77" dataCellStyle="Normaali 2"/>
    <tableColumn id="48" name="Vattentjänster" dataDxfId="76" dataCellStyle="Normaali 2"/>
    <tableColumn id="49" name="Energiförsörjning" dataDxfId="75" dataCellStyle="Normaali 2"/>
    <tableColumn id="50" name="Avfallshantering" dataDxfId="74" dataCellStyle="Normaali 2"/>
    <tableColumn id="51" name="Kollektivtrafik" dataDxfId="73" dataCellStyle="Normaali 2"/>
    <tableColumn id="52" name="Hamnverksamhet" dataDxfId="72" dataCellStyle="Normaali 2"/>
    <tableColumn id="53" name="Jord- och skogsbrukslägenheter" dataDxfId="71" dataCellStyle="Normaali 2"/>
    <tableColumn id="54" name="Annan verksamhet" dataDxfId="70" dataCellStyle="Normaali 2"/>
    <tableColumn id="55" name="Driftsekonomi sammanlagt" dataDxfId="69" dataCellStyle="Normaali 2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6" name="Taulukko6" displayName="Taulukko6" ref="DI4:FK48" totalsRowShown="0" headerRowDxfId="68" dataDxfId="67" tableBorderDxfId="66" headerRowCellStyle="Normaali 2 2 2" dataCellStyle="Normaali 2">
  <autoFilter ref="DI4:FK48"/>
  <tableColumns count="55">
    <tableColumn id="1" name="Samkommunerna på fastlandet sammanlagt" dataDxfId="65" dataCellStyle="Normaali 2"/>
    <tableColumn id="2" name="Social- och hälsovården sammanlagt" dataDxfId="64" dataCellStyle="Normaali 2"/>
    <tableColumn id="3" name="Allmän förvaltning" dataDxfId="63" dataCellStyle="Normaali 2"/>
    <tableColumn id="4" name="Institutions- och familjevård inom barnskydd" dataDxfId="62" dataCellStyle="Normaali 2"/>
    <tableColumn id="5" name="Öppen vård inom barnskyddet" dataDxfId="61" dataCellStyle="Normaali 2"/>
    <tableColumn id="6" name="Annan barn- och familjevård" dataDxfId="60" dataCellStyle="Normaali 2"/>
    <tableColumn id="7" name="Institutionsvård för äldre" dataDxfId="59" dataCellStyle="Normaali 2"/>
    <tableColumn id="8" name="Boendeservice inom heldygnsomsorgen för äldre" dataDxfId="58" dataCellStyle="Normaali 2"/>
    <tableColumn id="9" name="Övrig äldreservice" dataDxfId="57" dataCellStyle="Normaali 2"/>
    <tableColumn id="10" name="Institutionsvård för personer med funktionsnedsättning" dataDxfId="56" dataCellStyle="Normaali 2"/>
    <tableColumn id="11" name="Boendeservice inom heldygnsomsorgen för personer med funktionsnedsättning" dataDxfId="55" dataCellStyle="Normaali 2"/>
    <tableColumn id="12" name="Övrig service för personer med funktionsnedsättning" dataDxfId="54" dataCellStyle="Normaali 2"/>
    <tableColumn id="13" name="Hemvård" dataDxfId="53" dataCellStyle="Normaali 2"/>
    <tableColumn id="14" name="Sysselsättningsfrämjande service" dataDxfId="52" dataCellStyle="Normaali 2"/>
    <tableColumn id="15" name="Särskild service inom missbrukarvården" dataDxfId="51" dataCellStyle="Normaali 2"/>
    <tableColumn id="16" name="Öppenvård inom primärvården" dataDxfId="50" dataCellStyle="Normaali 2"/>
    <tableColumn id="17" name="Mun- och tandvård" dataDxfId="49" dataCellStyle="Normaali 2"/>
    <tableColumn id="18" name="Vårdavdelningsvård inom primärvården" dataDxfId="48" dataCellStyle="Normaali 2"/>
    <tableColumn id="19" name="Specialiserad sjukvård" dataDxfId="47" dataCellStyle="Normaali 2"/>
    <tableColumn id="20" name="Miljö- och hälsoskydd" dataDxfId="46" dataCellStyle="Normaali 2"/>
    <tableColumn id="21" name="Övrig social- och hälsovård" dataDxfId="45" dataCellStyle="Normaali 2"/>
    <tableColumn id="22" name="Småbarnspedagogik" dataDxfId="44" dataCellStyle="Normaali 2"/>
    <tableColumn id="23" name="Förskoleundervisning" dataDxfId="43" dataCellStyle="Normaali 2"/>
    <tableColumn id="24" name="Grundläggande utbildning" dataDxfId="42" dataCellStyle="Normaali 2"/>
    <tableColumn id="25" name="Gymnasieutbildning" dataDxfId="41" dataCellStyle="Normaali 2"/>
    <tableColumn id="26" name="Yrkesutbildning" dataDxfId="40" dataCellStyle="Normaali 2"/>
    <tableColumn id="27" name="Fritt bildningsarbete vid medborgarinstitut" dataDxfId="39" dataCellStyle="Normaali 2"/>
    <tableColumn id="28" name="Grundläggande konstundervisning" dataDxfId="38" dataCellStyle="Normaali 2"/>
    <tableColumn id="29" name="Övrig undervisningsverksamhet" dataDxfId="37" dataCellStyle="Normaali 2"/>
    <tableColumn id="30" name="Biblioteksverksamhet" dataDxfId="36" dataCellStyle="Normaali 2"/>
    <tableColumn id="31" name="Idrott och friluftsliv" dataDxfId="35" dataCellStyle="Normaali 2"/>
    <tableColumn id="32" name="Ungdomsverksamhet" dataDxfId="34" dataCellStyle="Normaali 2"/>
    <tableColumn id="33" name="Musei- och utställningsverksamhet" dataDxfId="33" dataCellStyle="Normaali 2"/>
    <tableColumn id="34" name="Teater-, dans- och cirkusverksamhet" dataDxfId="32" dataCellStyle="Normaali 2"/>
    <tableColumn id="35" name="Musikverksamhet" dataDxfId="31" dataCellStyle="Normaali 2"/>
    <tableColumn id="36" name="Övrig kulturverksamhet" dataDxfId="30" dataCellStyle="Normaali 2"/>
    <tableColumn id="37" name="Undervisnings- och kulturverksamhet sammanlagt" dataDxfId="29" dataCellStyle="Normaali 2"/>
    <tableColumn id="38" name="Samhällsplanering" dataDxfId="28" dataCellStyle="Normaali 2"/>
    <tableColumn id="39" name="Byggnadstillsyn" dataDxfId="27" dataCellStyle="Normaali 2"/>
    <tableColumn id="40" name="Miljövård" dataDxfId="26" dataCellStyle="Normaali 2"/>
    <tableColumn id="41" name="Trafikleder" dataDxfId="25" dataCellStyle="Normaali 2"/>
    <tableColumn id="42" name="Parker och allmänna områden" dataDxfId="24" dataCellStyle="Normaali 2"/>
    <tableColumn id="43" name="Brand- och räddningsverksamhet" dataDxfId="23" dataCellStyle="Normaali 2"/>
    <tableColumn id="44" name="Avbytarservice" dataDxfId="22" dataCellStyle="Normaali 2"/>
    <tableColumn id="45" name="Byggnader och lokaler samt uthyrning" dataDxfId="21" dataCellStyle="Normaali 2"/>
    <tableColumn id="46" name="Stödtjänster" dataDxfId="20" dataCellStyle="Normaali 2"/>
    <tableColumn id="47" name="Främjande av näringslivet" dataDxfId="19" dataCellStyle="Normaali 2"/>
    <tableColumn id="48" name="Vattentjänster" dataDxfId="18" dataCellStyle="Normaali 2"/>
    <tableColumn id="49" name="Energiförsörjning" dataDxfId="17" dataCellStyle="Normaali 2"/>
    <tableColumn id="50" name="Avfallshantering" dataDxfId="16" dataCellStyle="Normaali 2"/>
    <tableColumn id="51" name="Kollektivtrafik" dataDxfId="15" dataCellStyle="Normaali 2"/>
    <tableColumn id="52" name="Hamnverksamhet" dataDxfId="14" dataCellStyle="Normaali 2"/>
    <tableColumn id="53" name="Jord- och skogsbrukslägenheter" dataDxfId="13" dataCellStyle="Normaali 2"/>
    <tableColumn id="54" name="Annan verksamhet" dataDxfId="12" dataCellStyle="Normaali 2"/>
    <tableColumn id="55" name="Driftsekonomi sammanlagt" dataDxfId="11" dataCellStyle="Normaali 2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10" name="Taulukko10" displayName="Taulukko10" ref="A56:C60" totalsRowShown="0" headerRowDxfId="10" dataDxfId="9">
  <autoFilter ref="A56:C60"/>
  <tableColumns count="3">
    <tableColumn id="1" name="Sektorspecifika nettokostnader" dataDxfId="8" dataCellStyle="Normaali 2"/>
    <tableColumn id="2" name="Euro sammanlagt" dataDxfId="7" dataCellStyle="Normaali 2"/>
    <tableColumn id="3" name="Relativa andelar" dataDxfId="6" dataCellStyle="Prosenttia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12" name="Taulukko12" displayName="Taulukko12" ref="A63:B65" totalsRowShown="0" headerRowDxfId="5" dataDxfId="4">
  <autoFilter ref="A63:B65"/>
  <tableColumns count="2">
    <tableColumn id="1" name="Hemvården delas" dataDxfId="3" dataCellStyle="Normaali 2"/>
    <tableColumn id="2" name="1 027 029" dataDxfId="2" dataCellStyle="Normaali 2">
      <calculatedColumnFormula>B62*0.1</calculatedColumnFormula>
    </tableColumn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4" name="Taulukko44" displayName="Taulukko44" ref="A67:C71" totalsRowShown="0" headerRowDxfId="1" headerRowCellStyle="Normaali 2">
  <autoFilter ref="A67:C71"/>
  <tableColumns count="3">
    <tableColumn id="1" name="Utöver detta beaktas"/>
    <tableColumn id="2" name="Euro sammanlagt"/>
    <tableColumn id="3" name="Källa" dataDxfId="0" dataCellStyle="Normaali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ulukko4" displayName="Taulukko4" ref="A14:M19" totalsRowShown="0" headerRowDxfId="666" dataDxfId="664" headerRowBorderDxfId="665" headerRowCellStyle="Normaali 2">
  <autoFilter ref="A14:M19"/>
  <tableColumns count="13">
    <tableColumn id="1" name="Kriterium:" dataDxfId="663"/>
    <tableColumn id="2" name="Invånarbaserad andel" dataDxfId="662"/>
    <tableColumn id="3" name="Behovet av social- och hälsovårdstjänster sammanlagt" dataDxfId="661"/>
    <tableColumn id="4" name="Servicebehovet inom hälso- och sjukvården" dataDxfId="660"/>
    <tableColumn id="5" name="Servicebehovet inom äldreomsorgen" dataDxfId="659"/>
    <tableColumn id="6" name="Servicebehovet inom socialvården" dataDxfId="658"/>
    <tableColumn id="7" name="Inslag av främmandespråkiga" dataDxfId="657"/>
    <tableColumn id="8" name="Tvåspråkighet" dataDxfId="656"/>
    <tableColumn id="9" name="Befolkningstäthet" dataDxfId="655"/>
    <tableColumn id="10" name="Karaktär av skärgård" dataDxfId="654"/>
    <tableColumn id="11" name="Kriteriet för främjande av hälsa och välfärd" dataDxfId="653"/>
    <tableColumn id="12" name="Samiskspråkighet" dataDxfId="652"/>
    <tableColumn id="13" name="Sammanlagt" dataDxfId="651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7" name="Taulukko7" displayName="Taulukko7" ref="A49:N73" totalsRowShown="0" headerRowDxfId="650" dataDxfId="648" headerRowBorderDxfId="649" headerRowCellStyle="Normaali 2" dataCellStyle="Normaali 2">
  <autoFilter ref="A49:N73"/>
  <tableColumns count="14">
    <tableColumn id="1" name="Kod för välfärdsområdet" dataDxfId="647" dataCellStyle="Normaali 2"/>
    <tableColumn id="2" name="Välfärdsområde" dataDxfId="646" dataCellStyle="Normaali 2"/>
    <tableColumn id="3" name="Invånarbaserad andel" dataDxfId="645" dataCellStyle="Normaali 2"/>
    <tableColumn id="4" name="Servicebehovet inom hälso- och sjukvården" dataDxfId="644" dataCellStyle="Normaali 2"/>
    <tableColumn id="5" name="Servicebehovet inom äldreomsorgen" dataDxfId="643" dataCellStyle="Normaali 2"/>
    <tableColumn id="6" name="Servicebehovet inom socialvården" dataDxfId="642" dataCellStyle="Normaali 2"/>
    <tableColumn id="7" name="Inslag av främmandespråkiga" dataDxfId="641" dataCellStyle="Normaali 2"/>
    <tableColumn id="8" name="Tvåspråkighet" dataDxfId="640" dataCellStyle="Normaali 2"/>
    <tableColumn id="9" name="Befolkningstäthet" dataDxfId="639" dataCellStyle="Normaali 2"/>
    <tableColumn id="10" name="Karaktär av skärgård" dataDxfId="638" dataCellStyle="Normaali 2">
      <calculatedColumnFormula>J23*$J$18</calculatedColumnFormula>
    </tableColumn>
    <tableColumn id="11" name="Kriteriet för främjande av hälsa och välfärd" dataDxfId="637" dataCellStyle="Normaali 2"/>
    <tableColumn id="12" name="Samiskspråkighet" dataDxfId="636" dataCellStyle="Normaali 2"/>
    <tableColumn id="13" name="Sammanlagt, €" dataDxfId="635" dataCellStyle="Normaali 2">
      <calculatedColumnFormula>SUM(Taulukko7[[#This Row],[Invånarbaserad andel]:[Samiskspråkighet]])</calculatedColumnFormula>
    </tableColumn>
    <tableColumn id="14" name="Sammanlagt, €/inv." dataDxfId="634" dataCellStyle="Normaali 2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17" name="Taulukko17" displayName="Taulukko17" ref="A10:C11" totalsRowShown="0" headerRowDxfId="633" dataDxfId="632" tableBorderDxfId="631" dataCellStyle="Normaali 2">
  <autoFilter ref="A10:C11"/>
  <tableColumns count="3">
    <tableColumn id="1" name="Social- och hälsovårdskostnader som överförs från kommunerna sammanlagt:" dataDxfId="630" dataCellStyle="Normaali 2">
      <calculatedColumnFormula>'Social- och hälsovårdskostnader'!R14</calculatedColumnFormula>
    </tableColumn>
    <tableColumn id="2" name="Befolkningen 2018" dataDxfId="629" dataCellStyle="Normaali 2">
      <calculatedColumnFormula>C45</calculatedColumnFormula>
    </tableColumn>
    <tableColumn id="3" name="Kostnaderna per invånare" dataDxfId="628" dataCellStyle="Normaali 2">
      <calculatedColumnFormula>A11/B11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8" name="Taulukko18" displayName="Taulukko18" ref="A22:L45" totalsRowShown="0" headerRowDxfId="627" dataDxfId="626" tableBorderDxfId="625" headerRowCellStyle="Normaali 2" dataCellStyle="Normaali 2">
  <autoFilter ref="A22:L45"/>
  <tableColumns count="12">
    <tableColumn id="1" name="Kod för välfärdsområdet" dataDxfId="624" dataCellStyle="Normaali 2"/>
    <tableColumn id="2" name="Välfärdsområde" dataDxfId="623" dataCellStyle="Normaali 2"/>
    <tableColumn id="3" name="Invånarantal" dataDxfId="622" dataCellStyle="Normaali 2"/>
    <tableColumn id="4" name="Servicebehovskoefficient för hälso- och sjukvården" dataDxfId="621" dataCellStyle="Normaali 2"/>
    <tableColumn id="5" name="Servicebehovskoefficient för äldreomsorgen" dataDxfId="620" dataCellStyle="Normaali 2"/>
    <tableColumn id="6" name="Servicebehovskoefficient för socialvården" dataDxfId="619" dataCellStyle="Normaali 2"/>
    <tableColumn id="7" name="Antalet personer med främmande språk som modersmål" dataDxfId="618" dataCellStyle="Normaali 2"/>
    <tableColumn id="8" name="Antalet svenskspråkiga i tvåspråkiga välfärdsområden" dataDxfId="617" dataCellStyle="Normaali 2"/>
    <tableColumn id="9" name="Befolkningstäthetskoefficient" dataDxfId="616" dataCellStyle="Normaali 2">
      <calculatedColumnFormula>Bestämningsfaktorer!I4</calculatedColumnFormula>
    </tableColumn>
    <tableColumn id="10" name="Skärgårdskommunernas oinvånarantal i skärgården" dataDxfId="615" dataCellStyle="Normaali 2"/>
    <tableColumn id="11" name="Koefficienten för främjande av hälsa och välfärd" dataDxfId="614" dataCellStyle="Normaali 2">
      <calculatedColumnFormula>'Koefficienten för främjande av '!G4</calculatedColumnFormula>
    </tableColumn>
    <tableColumn id="12" name="Antalet samiskspråkiga inom välfärdsområdet där kommunerna inom samernas hembygdsområde finns " dataDxfId="613" dataCellStyle="Normaali 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9" name="Taulukko19" displayName="Taulukko19" ref="A78:N102" totalsRowShown="0" headerRowDxfId="612" dataDxfId="611" tableBorderDxfId="610" dataCellStyle="Normaali 2">
  <autoFilter ref="A78:N102"/>
  <tableColumns count="14">
    <tableColumn id="1" name="Kod för välfärdsområdet" dataDxfId="609" dataCellStyle="Normaali 2"/>
    <tableColumn id="2" name="Välfärdsområde" dataDxfId="608" dataCellStyle="Normaali 2"/>
    <tableColumn id="3" name="Invånarbaserad andel" dataDxfId="607" dataCellStyle="Normaali 2"/>
    <tableColumn id="4" name="Servicebehovet inom hälso- och sjukvården" dataDxfId="606" dataCellStyle="Normaali 2"/>
    <tableColumn id="5" name="Servicebehovet inom äldreomsorgen" dataDxfId="605" dataCellStyle="Normaali 2"/>
    <tableColumn id="6" name="Servicebehovet inom socialvården" dataDxfId="604" dataCellStyle="Normaali 2"/>
    <tableColumn id="7" name="Inslag av främmandespråkiga" dataDxfId="603" dataCellStyle="Normaali 2"/>
    <tableColumn id="8" name="Tvåspråkighet" dataDxfId="602" dataCellStyle="Normaali 2"/>
    <tableColumn id="9" name="Befolkningstäthet" dataDxfId="601" dataCellStyle="Normaali 2"/>
    <tableColumn id="10" name="Karaktär av skärgård" dataDxfId="600" dataCellStyle="Normaali 2"/>
    <tableColumn id="11" name="Kriteriet för främjande av hälsa och välfärd" dataDxfId="599" dataCellStyle="Normaali 2"/>
    <tableColumn id="12" name="Samiskspråkighet" dataDxfId="598" dataCellStyle="Normaali 2"/>
    <tableColumn id="13" name="Sammanlagt, €/inv." dataDxfId="597" dataCellStyle="Normaali 2"/>
    <tableColumn id="14" name="Sammanlagt, €/inv.2" dataDxfId="596" dataCellStyle="Normaali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7" Type="http://schemas.openxmlformats.org/officeDocument/2006/relationships/table" Target="../tables/table46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70" zoomScaleNormal="70" workbookViewId="0"/>
  </sheetViews>
  <sheetFormatPr defaultColWidth="8.6640625" defaultRowHeight="15.5" x14ac:dyDescent="0.35"/>
  <cols>
    <col min="1" max="16384" width="8.6640625" style="3"/>
  </cols>
  <sheetData>
    <row r="1" spans="1:1" ht="18" x14ac:dyDescent="0.4">
      <c r="A1" s="257" t="s">
        <v>0</v>
      </c>
    </row>
    <row r="2" spans="1:1" x14ac:dyDescent="0.35">
      <c r="A2" s="3" t="s">
        <v>1</v>
      </c>
    </row>
    <row r="3" spans="1:1" x14ac:dyDescent="0.35">
      <c r="A3" s="3" t="s">
        <v>2</v>
      </c>
    </row>
    <row r="4" spans="1:1" x14ac:dyDescent="0.35">
      <c r="A4" s="3" t="s">
        <v>3</v>
      </c>
    </row>
    <row r="5" spans="1:1" x14ac:dyDescent="0.35">
      <c r="A5" s="3" t="s">
        <v>4</v>
      </c>
    </row>
    <row r="6" spans="1:1" x14ac:dyDescent="0.35">
      <c r="A6" s="3" t="s">
        <v>5</v>
      </c>
    </row>
    <row r="7" spans="1:1" x14ac:dyDescent="0.35">
      <c r="A7" s="3" t="s">
        <v>6</v>
      </c>
    </row>
    <row r="8" spans="1:1" x14ac:dyDescent="0.35">
      <c r="A8" s="3" t="s">
        <v>7</v>
      </c>
    </row>
    <row r="9" spans="1:1" x14ac:dyDescent="0.35">
      <c r="A9" s="3" t="s">
        <v>8</v>
      </c>
    </row>
    <row r="11" spans="1:1" x14ac:dyDescent="0.35">
      <c r="A11" s="225"/>
    </row>
    <row r="12" spans="1:1" x14ac:dyDescent="0.35">
      <c r="A12" s="22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54"/>
  <sheetViews>
    <sheetView topLeftCell="F19" zoomScale="70" zoomScaleNormal="70" workbookViewId="0">
      <selection activeCell="F19" sqref="F19"/>
    </sheetView>
  </sheetViews>
  <sheetFormatPr defaultColWidth="8.4140625" defaultRowHeight="15.5" x14ac:dyDescent="0.35"/>
  <cols>
    <col min="1" max="1" width="21.6640625" style="286" customWidth="1"/>
    <col min="2" max="2" width="15.08203125" style="286" customWidth="1"/>
    <col min="3" max="3" width="17.1640625" style="286" customWidth="1"/>
    <col min="4" max="4" width="20.08203125" style="286" customWidth="1"/>
    <col min="5" max="5" width="23.58203125" style="286" customWidth="1"/>
    <col min="6" max="6" width="13.4140625" style="286" customWidth="1"/>
    <col min="7" max="7" width="30.6640625" style="286" customWidth="1"/>
    <col min="8" max="8" width="21.9140625" style="286" customWidth="1"/>
    <col min="9" max="9" width="13.9140625" style="286" customWidth="1"/>
    <col min="10" max="10" width="11.6640625" style="286" bestFit="1" customWidth="1"/>
    <col min="11" max="11" width="14.5" style="286" bestFit="1" customWidth="1"/>
    <col min="12" max="12" width="19.08203125" style="286" bestFit="1" customWidth="1"/>
    <col min="13" max="13" width="18.33203125" style="286" bestFit="1" customWidth="1"/>
    <col min="14" max="14" width="22.6640625" style="286" bestFit="1" customWidth="1"/>
    <col min="15" max="15" width="27.33203125" style="286" customWidth="1"/>
    <col min="16" max="16" width="12.1640625" style="286" bestFit="1" customWidth="1"/>
    <col min="17" max="17" width="17.58203125" style="286" bestFit="1" customWidth="1"/>
    <col min="18" max="18" width="13.58203125" style="286" bestFit="1" customWidth="1"/>
    <col min="19" max="19" width="11.9140625" style="286" bestFit="1" customWidth="1"/>
    <col min="20" max="20" width="16.1640625" style="286" bestFit="1" customWidth="1"/>
    <col min="21" max="21" width="14.4140625" style="286" bestFit="1" customWidth="1"/>
    <col min="22" max="22" width="14.9140625" style="286" bestFit="1" customWidth="1"/>
    <col min="23" max="23" width="12.08203125" style="286" bestFit="1" customWidth="1"/>
    <col min="24" max="24" width="14.5" style="286" bestFit="1" customWidth="1"/>
    <col min="25" max="16384" width="8.4140625" style="286"/>
  </cols>
  <sheetData>
    <row r="1" spans="1:40" ht="18" x14ac:dyDescent="0.4">
      <c r="A1" s="334" t="s">
        <v>494</v>
      </c>
    </row>
    <row r="2" spans="1:40" x14ac:dyDescent="0.35">
      <c r="A2" s="286" t="s">
        <v>495</v>
      </c>
      <c r="D2" s="326"/>
      <c r="E2" s="326"/>
      <c r="F2" s="326"/>
      <c r="G2" s="326"/>
    </row>
    <row r="3" spans="1:40" ht="35.5" customHeight="1" x14ac:dyDescent="0.35">
      <c r="A3" s="319" t="s">
        <v>22</v>
      </c>
      <c r="B3" s="319" t="s">
        <v>34</v>
      </c>
      <c r="C3" s="355" t="s">
        <v>496</v>
      </c>
      <c r="D3" s="321" t="s">
        <v>497</v>
      </c>
      <c r="E3" s="321" t="s">
        <v>498</v>
      </c>
      <c r="F3" s="323" t="s">
        <v>499</v>
      </c>
      <c r="G3" s="321" t="s">
        <v>500</v>
      </c>
      <c r="H3" s="306"/>
      <c r="I3" s="306"/>
    </row>
    <row r="4" spans="1:40" x14ac:dyDescent="0.35">
      <c r="A4" s="337">
        <v>31</v>
      </c>
      <c r="B4" s="337" t="s">
        <v>37</v>
      </c>
      <c r="C4" s="328">
        <f>Bestämningsfaktorer!C4</f>
        <v>648042</v>
      </c>
      <c r="D4" s="338">
        <f t="shared" ref="D4:D25" si="0">M30</f>
        <v>36.083805630351002</v>
      </c>
      <c r="E4" s="338">
        <f t="shared" ref="E4:E25" si="1">N30</f>
        <v>69.383825552823197</v>
      </c>
      <c r="F4" s="338">
        <f>AVERAGE(D4:E4)</f>
        <v>52.733815591587103</v>
      </c>
      <c r="G4" s="339">
        <f t="shared" ref="G4:G25" si="2">F4/$F$27</f>
        <v>1.0536787509734811</v>
      </c>
      <c r="H4" s="340"/>
      <c r="I4" s="341"/>
    </row>
    <row r="5" spans="1:40" x14ac:dyDescent="0.35">
      <c r="A5" s="337">
        <v>32</v>
      </c>
      <c r="B5" s="337" t="s">
        <v>501</v>
      </c>
      <c r="C5" s="328">
        <f>Bestämningsfaktorer!C5</f>
        <v>264420</v>
      </c>
      <c r="D5" s="338">
        <f t="shared" si="0"/>
        <v>53.396975163526399</v>
      </c>
      <c r="E5" s="338">
        <f t="shared" si="1"/>
        <v>61.808634032215501</v>
      </c>
      <c r="F5" s="338">
        <f t="shared" ref="F5:F25" si="3">AVERAGE(D5:E5)</f>
        <v>57.60280459787095</v>
      </c>
      <c r="G5" s="339">
        <f t="shared" si="2"/>
        <v>1.1509664248709726</v>
      </c>
      <c r="H5" s="340"/>
      <c r="I5" s="341"/>
    </row>
    <row r="6" spans="1:40" x14ac:dyDescent="0.35">
      <c r="A6" s="337">
        <v>33</v>
      </c>
      <c r="B6" s="337" t="s">
        <v>41</v>
      </c>
      <c r="C6" s="328">
        <f>Bestämningsfaktorer!C6</f>
        <v>464302</v>
      </c>
      <c r="D6" s="338">
        <f t="shared" si="0"/>
        <v>40.947261250227101</v>
      </c>
      <c r="E6" s="338">
        <f t="shared" si="1"/>
        <v>54.087193709895899</v>
      </c>
      <c r="F6" s="338">
        <f t="shared" si="3"/>
        <v>47.5172274800615</v>
      </c>
      <c r="G6" s="339">
        <f t="shared" si="2"/>
        <v>0.94944567047224182</v>
      </c>
      <c r="H6" s="340"/>
      <c r="I6" s="341"/>
    </row>
    <row r="7" spans="1:40" x14ac:dyDescent="0.35">
      <c r="A7" s="337">
        <v>34</v>
      </c>
      <c r="B7" s="337" t="s">
        <v>43</v>
      </c>
      <c r="C7" s="328">
        <f>Bestämningsfaktorer!C7</f>
        <v>97263</v>
      </c>
      <c r="D7" s="338">
        <f t="shared" si="0"/>
        <v>63.711867841496201</v>
      </c>
      <c r="E7" s="338">
        <f t="shared" si="1"/>
        <v>49.236116031602499</v>
      </c>
      <c r="F7" s="338">
        <f t="shared" si="3"/>
        <v>56.473991936549353</v>
      </c>
      <c r="G7" s="339">
        <f t="shared" si="2"/>
        <v>1.1284115252923776</v>
      </c>
      <c r="H7" s="340"/>
      <c r="I7" s="341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</row>
    <row r="8" spans="1:40" x14ac:dyDescent="0.35">
      <c r="A8" s="337">
        <v>35</v>
      </c>
      <c r="B8" s="343" t="s">
        <v>45</v>
      </c>
      <c r="C8" s="304">
        <f>Bestämningsfaktorer!C8</f>
        <v>196997</v>
      </c>
      <c r="D8" s="344">
        <f t="shared" si="0"/>
        <v>49.900524009934301</v>
      </c>
      <c r="E8" s="344">
        <f t="shared" si="1"/>
        <v>57.517903299309999</v>
      </c>
      <c r="F8" s="344">
        <f t="shared" si="3"/>
        <v>53.709213654622147</v>
      </c>
      <c r="G8" s="345">
        <f t="shared" si="2"/>
        <v>1.0731682607165365</v>
      </c>
      <c r="H8" s="340"/>
      <c r="I8" s="341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</row>
    <row r="9" spans="1:40" x14ac:dyDescent="0.35">
      <c r="A9" s="337">
        <v>2</v>
      </c>
      <c r="B9" s="286" t="s">
        <v>47</v>
      </c>
      <c r="C9" s="328">
        <f>Bestämningsfaktorer!C9</f>
        <v>478582</v>
      </c>
      <c r="D9" s="338">
        <f t="shared" si="0"/>
        <v>37.7363710129897</v>
      </c>
      <c r="E9" s="338">
        <f t="shared" si="1"/>
        <v>51.8779870658528</v>
      </c>
      <c r="F9" s="338">
        <f t="shared" si="3"/>
        <v>44.80717903942125</v>
      </c>
      <c r="G9" s="339">
        <f t="shared" si="2"/>
        <v>0.8952959674026425</v>
      </c>
      <c r="H9" s="340"/>
      <c r="I9" s="341"/>
    </row>
    <row r="10" spans="1:40" x14ac:dyDescent="0.35">
      <c r="A10" s="337">
        <v>4</v>
      </c>
      <c r="B10" s="286" t="s">
        <v>49</v>
      </c>
      <c r="C10" s="328">
        <f>Bestämningsfaktorer!C10</f>
        <v>218624</v>
      </c>
      <c r="D10" s="338">
        <f t="shared" si="0"/>
        <v>75.339621901183094</v>
      </c>
      <c r="E10" s="338">
        <f t="shared" si="1"/>
        <v>67.0928254606807</v>
      </c>
      <c r="F10" s="338">
        <f t="shared" si="3"/>
        <v>71.216223680931904</v>
      </c>
      <c r="G10" s="339">
        <f t="shared" si="2"/>
        <v>1.4229772827047953</v>
      </c>
      <c r="H10" s="340"/>
      <c r="I10" s="341"/>
    </row>
    <row r="11" spans="1:40" x14ac:dyDescent="0.35">
      <c r="A11" s="337">
        <v>5</v>
      </c>
      <c r="B11" s="286" t="s">
        <v>51</v>
      </c>
      <c r="C11" s="328">
        <f>Bestämningsfaktorer!C11</f>
        <v>171364</v>
      </c>
      <c r="D11" s="338">
        <f t="shared" si="0"/>
        <v>24.542939672267</v>
      </c>
      <c r="E11" s="338">
        <f t="shared" si="1"/>
        <v>66.024450388873603</v>
      </c>
      <c r="F11" s="338">
        <f t="shared" si="3"/>
        <v>45.2836950305703</v>
      </c>
      <c r="G11" s="339">
        <f t="shared" si="2"/>
        <v>0.90481727301537196</v>
      </c>
      <c r="H11" s="340"/>
      <c r="I11" s="341"/>
    </row>
    <row r="12" spans="1:40" x14ac:dyDescent="0.35">
      <c r="A12" s="337">
        <v>6</v>
      </c>
      <c r="B12" s="286" t="s">
        <v>53</v>
      </c>
      <c r="C12" s="328">
        <f>Bestämningsfaktorer!C12</f>
        <v>517333</v>
      </c>
      <c r="D12" s="338">
        <f t="shared" si="0"/>
        <v>39.367435401173303</v>
      </c>
      <c r="E12" s="338">
        <f t="shared" si="1"/>
        <v>53.025412686860101</v>
      </c>
      <c r="F12" s="338">
        <f t="shared" si="3"/>
        <v>46.196424044016702</v>
      </c>
      <c r="G12" s="339">
        <f t="shared" si="2"/>
        <v>0.92305458727144285</v>
      </c>
      <c r="H12" s="340"/>
      <c r="I12" s="341"/>
    </row>
    <row r="13" spans="1:40" x14ac:dyDescent="0.35">
      <c r="A13" s="337">
        <v>7</v>
      </c>
      <c r="B13" s="286" t="s">
        <v>55</v>
      </c>
      <c r="C13" s="328">
        <f>Bestämningsfaktorer!C13</f>
        <v>207394</v>
      </c>
      <c r="D13" s="338">
        <f t="shared" si="0"/>
        <v>42.331586323668397</v>
      </c>
      <c r="E13" s="338">
        <f t="shared" si="1"/>
        <v>37.965979591479098</v>
      </c>
      <c r="F13" s="338">
        <f t="shared" si="3"/>
        <v>40.148782957573744</v>
      </c>
      <c r="G13" s="339">
        <f t="shared" si="2"/>
        <v>0.80221616822642072</v>
      </c>
      <c r="H13" s="340"/>
      <c r="I13" s="341"/>
    </row>
    <row r="14" spans="1:40" x14ac:dyDescent="0.35">
      <c r="A14" s="337">
        <v>8</v>
      </c>
      <c r="B14" s="286" t="s">
        <v>57</v>
      </c>
      <c r="C14" s="328">
        <f>Bestämningsfaktorer!C14</f>
        <v>166623</v>
      </c>
      <c r="D14" s="338">
        <f t="shared" si="0"/>
        <v>40.820063407422097</v>
      </c>
      <c r="E14" s="338">
        <f t="shared" si="1"/>
        <v>60.944897714501899</v>
      </c>
      <c r="F14" s="338">
        <f t="shared" si="3"/>
        <v>50.882480560961994</v>
      </c>
      <c r="G14" s="339">
        <f t="shared" si="2"/>
        <v>1.0166870718996512</v>
      </c>
      <c r="H14" s="340"/>
      <c r="I14" s="341"/>
    </row>
    <row r="15" spans="1:40" x14ac:dyDescent="0.35">
      <c r="A15" s="337">
        <v>9</v>
      </c>
      <c r="B15" s="286" t="s">
        <v>59</v>
      </c>
      <c r="C15" s="328">
        <f>Bestämningsfaktorer!C15</f>
        <v>128756</v>
      </c>
      <c r="D15" s="338">
        <f t="shared" si="0"/>
        <v>44.404059075936203</v>
      </c>
      <c r="E15" s="338">
        <f t="shared" si="1"/>
        <v>51.051446831115797</v>
      </c>
      <c r="F15" s="338">
        <f t="shared" si="3"/>
        <v>47.727752953526</v>
      </c>
      <c r="G15" s="339">
        <f t="shared" si="2"/>
        <v>0.95365219745003871</v>
      </c>
      <c r="H15" s="340"/>
      <c r="I15" s="341"/>
    </row>
    <row r="16" spans="1:40" x14ac:dyDescent="0.35">
      <c r="A16" s="337">
        <v>10</v>
      </c>
      <c r="B16" s="286" t="s">
        <v>61</v>
      </c>
      <c r="C16" s="328">
        <f>Bestämningsfaktorer!C16</f>
        <v>136474</v>
      </c>
      <c r="D16" s="338">
        <f t="shared" si="0"/>
        <v>56.911976651255401</v>
      </c>
      <c r="E16" s="338">
        <f t="shared" si="1"/>
        <v>42.891970606127501</v>
      </c>
      <c r="F16" s="338">
        <f t="shared" si="3"/>
        <v>49.901973628691451</v>
      </c>
      <c r="G16" s="339">
        <f t="shared" si="2"/>
        <v>0.99709548141590698</v>
      </c>
      <c r="H16" s="340"/>
      <c r="I16" s="341"/>
    </row>
    <row r="17" spans="1:15" x14ac:dyDescent="0.35">
      <c r="A17" s="337">
        <v>11</v>
      </c>
      <c r="B17" s="286" t="s">
        <v>63</v>
      </c>
      <c r="C17" s="328">
        <f>Bestämningsfaktorer!C17</f>
        <v>250414</v>
      </c>
      <c r="D17" s="338">
        <f t="shared" si="0"/>
        <v>51.948728489406498</v>
      </c>
      <c r="E17" s="338">
        <f t="shared" si="1"/>
        <v>51.092221242316</v>
      </c>
      <c r="F17" s="338">
        <f t="shared" si="3"/>
        <v>51.520474865861246</v>
      </c>
      <c r="G17" s="339">
        <f t="shared" si="2"/>
        <v>1.0294348891166114</v>
      </c>
      <c r="H17" s="340"/>
      <c r="I17" s="341"/>
    </row>
    <row r="18" spans="1:15" x14ac:dyDescent="0.35">
      <c r="A18" s="337">
        <v>12</v>
      </c>
      <c r="B18" s="286" t="s">
        <v>65</v>
      </c>
      <c r="C18" s="328">
        <f>Bestämningsfaktorer!C18</f>
        <v>165569</v>
      </c>
      <c r="D18" s="338">
        <f t="shared" si="0"/>
        <v>24.870027030587099</v>
      </c>
      <c r="E18" s="338">
        <f t="shared" si="1"/>
        <v>64.943542060754993</v>
      </c>
      <c r="F18" s="338">
        <f t="shared" si="3"/>
        <v>44.906784545671044</v>
      </c>
      <c r="G18" s="339">
        <f t="shared" si="2"/>
        <v>0.89728619329921322</v>
      </c>
      <c r="H18" s="340"/>
      <c r="I18" s="341"/>
    </row>
    <row r="19" spans="1:15" x14ac:dyDescent="0.35">
      <c r="A19" s="337">
        <v>13</v>
      </c>
      <c r="B19" s="286" t="s">
        <v>67</v>
      </c>
      <c r="C19" s="328">
        <f>Bestämningsfaktorer!C19</f>
        <v>273283</v>
      </c>
      <c r="D19" s="338">
        <f t="shared" si="0"/>
        <v>44.2216771397147</v>
      </c>
      <c r="E19" s="338">
        <f t="shared" si="1"/>
        <v>42.203882489305499</v>
      </c>
      <c r="F19" s="338">
        <f t="shared" si="3"/>
        <v>43.2127798145101</v>
      </c>
      <c r="G19" s="339">
        <f t="shared" si="2"/>
        <v>0.86343814401150742</v>
      </c>
      <c r="H19" s="340"/>
      <c r="I19" s="341"/>
    </row>
    <row r="20" spans="1:15" x14ac:dyDescent="0.35">
      <c r="A20" s="337">
        <v>14</v>
      </c>
      <c r="B20" s="286" t="s">
        <v>69</v>
      </c>
      <c r="C20" s="328">
        <f>Bestämningsfaktorer!C20</f>
        <v>194316</v>
      </c>
      <c r="D20" s="338">
        <f t="shared" si="0"/>
        <v>52.560375660381297</v>
      </c>
      <c r="E20" s="338">
        <f t="shared" si="1"/>
        <v>54.111866450347897</v>
      </c>
      <c r="F20" s="338">
        <f t="shared" si="3"/>
        <v>53.3361210553646</v>
      </c>
      <c r="G20" s="339">
        <f t="shared" si="2"/>
        <v>1.0657134664906118</v>
      </c>
      <c r="H20" s="340"/>
      <c r="I20" s="341"/>
    </row>
    <row r="21" spans="1:15" x14ac:dyDescent="0.35">
      <c r="A21" s="337">
        <v>15</v>
      </c>
      <c r="B21" s="286" t="s">
        <v>71</v>
      </c>
      <c r="C21" s="328">
        <f>Bestämningsfaktorer!C21</f>
        <v>176193</v>
      </c>
      <c r="D21" s="338">
        <f t="shared" si="0"/>
        <v>28.556958545754</v>
      </c>
      <c r="E21" s="338">
        <f t="shared" si="1"/>
        <v>68.716480368700701</v>
      </c>
      <c r="F21" s="338">
        <f t="shared" si="3"/>
        <v>48.63671945722735</v>
      </c>
      <c r="G21" s="339">
        <f t="shared" si="2"/>
        <v>0.97181433268626771</v>
      </c>
      <c r="H21" s="340"/>
      <c r="I21" s="341"/>
    </row>
    <row r="22" spans="1:15" x14ac:dyDescent="0.35">
      <c r="A22" s="337">
        <v>16</v>
      </c>
      <c r="B22" s="286" t="s">
        <v>73</v>
      </c>
      <c r="C22" s="328">
        <f>Bestämningsfaktorer!C22</f>
        <v>68437</v>
      </c>
      <c r="D22" s="338">
        <f t="shared" si="0"/>
        <v>48.637436260382501</v>
      </c>
      <c r="E22" s="338">
        <f t="shared" si="1"/>
        <v>65.323814969042104</v>
      </c>
      <c r="F22" s="338">
        <f t="shared" si="3"/>
        <v>56.980625614712302</v>
      </c>
      <c r="G22" s="339">
        <f t="shared" si="2"/>
        <v>1.1385346149118021</v>
      </c>
      <c r="I22" s="341"/>
    </row>
    <row r="23" spans="1:15" x14ac:dyDescent="0.35">
      <c r="A23" s="337">
        <v>17</v>
      </c>
      <c r="B23" s="286" t="s">
        <v>75</v>
      </c>
      <c r="C23" s="328">
        <f>Bestämningsfaktorer!C23</f>
        <v>412161</v>
      </c>
      <c r="D23" s="338">
        <f t="shared" si="0"/>
        <v>37.327403832956797</v>
      </c>
      <c r="E23" s="338">
        <f t="shared" si="1"/>
        <v>64.4736188698446</v>
      </c>
      <c r="F23" s="338">
        <f t="shared" si="3"/>
        <v>50.900511351400695</v>
      </c>
      <c r="G23" s="339">
        <f t="shared" si="2"/>
        <v>1.0170473466215804</v>
      </c>
      <c r="I23" s="341"/>
    </row>
    <row r="24" spans="1:15" x14ac:dyDescent="0.35">
      <c r="A24" s="337">
        <v>18</v>
      </c>
      <c r="B24" s="286" t="s">
        <v>77</v>
      </c>
      <c r="C24" s="328">
        <f>Bestämningsfaktorer!C24</f>
        <v>73061</v>
      </c>
      <c r="D24" s="338">
        <f t="shared" si="0"/>
        <v>65.841375996305999</v>
      </c>
      <c r="E24" s="338">
        <f t="shared" si="1"/>
        <v>44.069325094337302</v>
      </c>
      <c r="F24" s="338">
        <f t="shared" si="3"/>
        <v>54.95535054532165</v>
      </c>
      <c r="G24" s="339">
        <f t="shared" si="2"/>
        <v>1.0980674254707687</v>
      </c>
      <c r="I24" s="341"/>
    </row>
    <row r="25" spans="1:15" x14ac:dyDescent="0.35">
      <c r="A25" s="337">
        <v>19</v>
      </c>
      <c r="B25" s="286" t="s">
        <v>79</v>
      </c>
      <c r="C25" s="328">
        <f>Bestämningsfaktorer!C25</f>
        <v>178522</v>
      </c>
      <c r="D25" s="338">
        <f t="shared" si="0"/>
        <v>44.232440227388601</v>
      </c>
      <c r="E25" s="338">
        <f t="shared" si="1"/>
        <v>53.451803631053799</v>
      </c>
      <c r="F25" s="338">
        <f t="shared" si="3"/>
        <v>48.8421219292212</v>
      </c>
      <c r="G25" s="339">
        <f t="shared" si="2"/>
        <v>0.97591849654601082</v>
      </c>
      <c r="I25" s="341"/>
    </row>
    <row r="26" spans="1:15" x14ac:dyDescent="0.35">
      <c r="B26" s="306" t="s">
        <v>502</v>
      </c>
      <c r="C26" s="346">
        <f>Bestämningsfaktorer!C26</f>
        <v>5488130</v>
      </c>
      <c r="D26" s="307"/>
      <c r="E26" s="307" t="s">
        <v>503</v>
      </c>
      <c r="F26" s="307">
        <f>AVERAGE(F4:F25)</f>
        <v>50.795138833439751</v>
      </c>
      <c r="G26" s="339">
        <f>F26/$F$26</f>
        <v>1</v>
      </c>
      <c r="H26" s="328"/>
      <c r="I26" s="328"/>
    </row>
    <row r="27" spans="1:15" x14ac:dyDescent="0.35">
      <c r="C27" s="306"/>
      <c r="D27" s="347"/>
      <c r="E27" s="347" t="s">
        <v>504</v>
      </c>
      <c r="F27" s="348">
        <f>SUMPRODUCT(C4:C25,F4:F25)/C26</f>
        <v>50.047337049235324</v>
      </c>
      <c r="G27" s="326"/>
    </row>
    <row r="28" spans="1:15" x14ac:dyDescent="0.35">
      <c r="C28" s="328"/>
    </row>
    <row r="29" spans="1:15" x14ac:dyDescent="0.35">
      <c r="A29" s="349" t="s">
        <v>22</v>
      </c>
      <c r="B29" s="349" t="s">
        <v>34</v>
      </c>
      <c r="C29" s="349" t="s">
        <v>505</v>
      </c>
      <c r="D29" s="349" t="s">
        <v>506</v>
      </c>
      <c r="E29" s="349" t="s">
        <v>507</v>
      </c>
      <c r="F29" s="349" t="s">
        <v>508</v>
      </c>
      <c r="G29" s="349" t="s">
        <v>509</v>
      </c>
      <c r="H29" s="349" t="s">
        <v>510</v>
      </c>
      <c r="I29" s="349" t="s">
        <v>511</v>
      </c>
      <c r="J29" s="349" t="s">
        <v>512</v>
      </c>
      <c r="K29" s="349" t="s">
        <v>513</v>
      </c>
      <c r="L29" s="349" t="s">
        <v>514</v>
      </c>
      <c r="M29" s="350" t="s">
        <v>515</v>
      </c>
      <c r="N29" s="350" t="s">
        <v>516</v>
      </c>
      <c r="O29" s="349" t="s">
        <v>517</v>
      </c>
    </row>
    <row r="30" spans="1:15" x14ac:dyDescent="0.35">
      <c r="A30" s="337">
        <v>31</v>
      </c>
      <c r="B30" s="337" t="s">
        <v>37</v>
      </c>
      <c r="C30" s="351">
        <v>0</v>
      </c>
      <c r="D30" s="351">
        <v>16.643645529250101</v>
      </c>
      <c r="E30" s="351">
        <v>5.2779707737859702</v>
      </c>
      <c r="F30" s="351">
        <v>97.183829361561706</v>
      </c>
      <c r="G30" s="351">
        <v>61.313582487157198</v>
      </c>
      <c r="H30" s="351">
        <v>83.625647754487204</v>
      </c>
      <c r="I30" s="351">
        <v>70.947337639970598</v>
      </c>
      <c r="J30" s="351">
        <v>10.6241330535481</v>
      </c>
      <c r="K30" s="351">
        <v>100</v>
      </c>
      <c r="L30" s="351">
        <v>81.722009316110302</v>
      </c>
      <c r="M30" s="352">
        <v>36.083805630351002</v>
      </c>
      <c r="N30" s="352">
        <v>69.383825552823197</v>
      </c>
      <c r="O30" s="351">
        <v>52.733815591587103</v>
      </c>
    </row>
    <row r="31" spans="1:15" x14ac:dyDescent="0.35">
      <c r="A31" s="337">
        <v>32</v>
      </c>
      <c r="B31" s="337" t="s">
        <v>501</v>
      </c>
      <c r="C31" s="351">
        <v>15.848431307832101</v>
      </c>
      <c r="D31" s="351">
        <v>85.838494838493901</v>
      </c>
      <c r="E31" s="351">
        <v>6.7359535576998502</v>
      </c>
      <c r="F31" s="351">
        <v>100</v>
      </c>
      <c r="G31" s="351">
        <v>58.561996113606298</v>
      </c>
      <c r="H31" s="351">
        <v>58.690536103355903</v>
      </c>
      <c r="I31" s="351">
        <v>61.3155903902557</v>
      </c>
      <c r="J31" s="351">
        <v>28.858541878643301</v>
      </c>
      <c r="K31" s="351">
        <v>98.693542766198306</v>
      </c>
      <c r="L31" s="351">
        <v>61.484959022624302</v>
      </c>
      <c r="M31" s="352">
        <v>53.396975163526399</v>
      </c>
      <c r="N31" s="352">
        <v>61.808634032215501</v>
      </c>
      <c r="O31" s="351">
        <v>57.602804597871</v>
      </c>
    </row>
    <row r="32" spans="1:15" x14ac:dyDescent="0.35">
      <c r="A32" s="337">
        <v>33</v>
      </c>
      <c r="B32" s="337" t="s">
        <v>41</v>
      </c>
      <c r="C32" s="351">
        <v>7.5787999901097303</v>
      </c>
      <c r="D32" s="351">
        <v>59.587291858208097</v>
      </c>
      <c r="E32" s="351">
        <v>10.033404484053399</v>
      </c>
      <c r="F32" s="351">
        <v>86.816690265329797</v>
      </c>
      <c r="G32" s="351">
        <v>40.720119653434303</v>
      </c>
      <c r="H32" s="351">
        <v>79.145082346161203</v>
      </c>
      <c r="I32" s="351">
        <v>42.396805881832002</v>
      </c>
      <c r="J32" s="351">
        <v>10.2140686290633</v>
      </c>
      <c r="K32" s="351">
        <v>55.461977747347497</v>
      </c>
      <c r="L32" s="351">
        <v>83.218033945075405</v>
      </c>
      <c r="M32" s="352">
        <v>40.947261250227101</v>
      </c>
      <c r="N32" s="352">
        <v>54.087193709895899</v>
      </c>
      <c r="O32" s="351">
        <v>47.5172274800615</v>
      </c>
    </row>
    <row r="33" spans="1:15" x14ac:dyDescent="0.35">
      <c r="A33" s="337">
        <v>34</v>
      </c>
      <c r="B33" s="337" t="s">
        <v>43</v>
      </c>
      <c r="C33" s="351">
        <v>91.167370507780106</v>
      </c>
      <c r="D33" s="351">
        <v>56.057861891194797</v>
      </c>
      <c r="E33" s="351">
        <v>22.9222256066606</v>
      </c>
      <c r="F33" s="351">
        <v>70.325567113965107</v>
      </c>
      <c r="G33" s="351">
        <v>78.086314087880595</v>
      </c>
      <c r="H33" s="351">
        <v>97.558754858152</v>
      </c>
      <c r="I33" s="351">
        <v>49.051076075902799</v>
      </c>
      <c r="J33" s="351">
        <v>0</v>
      </c>
      <c r="K33" s="351">
        <v>56.305602756649698</v>
      </c>
      <c r="L33" s="351">
        <v>43.265146467308099</v>
      </c>
      <c r="M33" s="352">
        <v>63.711867841496201</v>
      </c>
      <c r="N33" s="352">
        <v>49.236116031602499</v>
      </c>
      <c r="O33" s="351">
        <v>56.473991936549403</v>
      </c>
    </row>
    <row r="34" spans="1:15" x14ac:dyDescent="0.35">
      <c r="A34" s="337">
        <v>35</v>
      </c>
      <c r="B34" s="337" t="s">
        <v>45</v>
      </c>
      <c r="C34" s="351">
        <v>17.365135263583799</v>
      </c>
      <c r="D34" s="351">
        <v>63.0250865342609</v>
      </c>
      <c r="E34" s="351">
        <v>33.6080761242332</v>
      </c>
      <c r="F34" s="351">
        <v>86.407288226722102</v>
      </c>
      <c r="G34" s="351">
        <v>49.097033900871502</v>
      </c>
      <c r="H34" s="351">
        <v>82.812087106231999</v>
      </c>
      <c r="I34" s="351">
        <v>84.832747325161293</v>
      </c>
      <c r="J34" s="351">
        <v>25.25433613109</v>
      </c>
      <c r="K34" s="351">
        <v>37.641693953316498</v>
      </c>
      <c r="L34" s="351">
        <v>57.048651980750101</v>
      </c>
      <c r="M34" s="352">
        <v>49.900524009934301</v>
      </c>
      <c r="N34" s="352">
        <v>57.517903299309999</v>
      </c>
      <c r="O34" s="351">
        <v>53.709213654622097</v>
      </c>
    </row>
    <row r="35" spans="1:15" x14ac:dyDescent="0.35">
      <c r="A35" s="337">
        <v>2</v>
      </c>
      <c r="B35" s="337" t="s">
        <v>47</v>
      </c>
      <c r="C35" s="351">
        <v>9.4409059465965903</v>
      </c>
      <c r="D35" s="351">
        <v>22.897107890681799</v>
      </c>
      <c r="E35" s="351">
        <v>12.3566019845351</v>
      </c>
      <c r="F35" s="351">
        <v>87.220391310310305</v>
      </c>
      <c r="G35" s="351">
        <v>56.766847932824703</v>
      </c>
      <c r="H35" s="351">
        <v>32.510784520157898</v>
      </c>
      <c r="I35" s="351">
        <v>71.488083487495103</v>
      </c>
      <c r="J35" s="351">
        <v>70.045787294139799</v>
      </c>
      <c r="K35" s="351">
        <v>38.0254573470257</v>
      </c>
      <c r="L35" s="351">
        <v>47.319822680445398</v>
      </c>
      <c r="M35" s="352">
        <v>37.7363710129897</v>
      </c>
      <c r="N35" s="352">
        <v>51.8779870658528</v>
      </c>
      <c r="O35" s="351">
        <v>44.8071790394212</v>
      </c>
    </row>
    <row r="36" spans="1:15" x14ac:dyDescent="0.35">
      <c r="A36" s="337">
        <v>4</v>
      </c>
      <c r="B36" s="337" t="s">
        <v>49</v>
      </c>
      <c r="C36" s="351">
        <v>100</v>
      </c>
      <c r="D36" s="351">
        <v>90.014100632508402</v>
      </c>
      <c r="E36" s="351">
        <v>51.3236872213674</v>
      </c>
      <c r="F36" s="351">
        <v>53.910621402823899</v>
      </c>
      <c r="G36" s="351">
        <v>81.449700249215596</v>
      </c>
      <c r="H36" s="351">
        <v>68.790388970742896</v>
      </c>
      <c r="I36" s="351">
        <v>92.396724170804305</v>
      </c>
      <c r="J36" s="351">
        <v>88.943681984979904</v>
      </c>
      <c r="K36" s="351">
        <v>44.1925187481555</v>
      </c>
      <c r="L36" s="351">
        <v>41.140813428721003</v>
      </c>
      <c r="M36" s="352">
        <v>75.339621901183094</v>
      </c>
      <c r="N36" s="352">
        <v>67.0928254606807</v>
      </c>
      <c r="O36" s="351">
        <v>71.216223680931904</v>
      </c>
    </row>
    <row r="37" spans="1:15" x14ac:dyDescent="0.35">
      <c r="A37" s="337">
        <v>5</v>
      </c>
      <c r="B37" s="337" t="s">
        <v>51</v>
      </c>
      <c r="C37" s="351">
        <v>4.3760874588824796</v>
      </c>
      <c r="D37" s="351">
        <v>62.888899007683897</v>
      </c>
      <c r="E37" s="351">
        <v>22.686773807872399</v>
      </c>
      <c r="F37" s="351">
        <v>27.413433192210899</v>
      </c>
      <c r="G37" s="351">
        <v>5.3495048946853103</v>
      </c>
      <c r="H37" s="351">
        <v>90.437457425694802</v>
      </c>
      <c r="I37" s="351">
        <v>92.701803734345702</v>
      </c>
      <c r="J37" s="351">
        <v>100</v>
      </c>
      <c r="K37" s="351">
        <v>35.600534535262398</v>
      </c>
      <c r="L37" s="351">
        <v>11.3824562490652</v>
      </c>
      <c r="M37" s="352">
        <v>24.542939672267</v>
      </c>
      <c r="N37" s="352">
        <v>66.024450388873603</v>
      </c>
      <c r="O37" s="351">
        <v>45.2836950305703</v>
      </c>
    </row>
    <row r="38" spans="1:15" x14ac:dyDescent="0.35">
      <c r="A38" s="337">
        <v>6</v>
      </c>
      <c r="B38" s="337" t="s">
        <v>53</v>
      </c>
      <c r="C38" s="351">
        <v>7.2108904020617803</v>
      </c>
      <c r="D38" s="351">
        <v>30.328907988209501</v>
      </c>
      <c r="E38" s="351">
        <v>33.801159406070099</v>
      </c>
      <c r="F38" s="351">
        <v>82.921439422094394</v>
      </c>
      <c r="G38" s="351">
        <v>42.574779787430401</v>
      </c>
      <c r="H38" s="351">
        <v>70.921272719167803</v>
      </c>
      <c r="I38" s="351">
        <v>44.932449591392903</v>
      </c>
      <c r="J38" s="351">
        <v>76.817503807557102</v>
      </c>
      <c r="K38" s="351">
        <v>19.026471700719402</v>
      </c>
      <c r="L38" s="351">
        <v>53.429365615463396</v>
      </c>
      <c r="M38" s="352">
        <v>39.367435401173303</v>
      </c>
      <c r="N38" s="352">
        <v>53.025412686860101</v>
      </c>
      <c r="O38" s="351">
        <v>46.196424044016702</v>
      </c>
    </row>
    <row r="39" spans="1:15" x14ac:dyDescent="0.35">
      <c r="A39" s="337">
        <v>7</v>
      </c>
      <c r="B39" s="337" t="s">
        <v>55</v>
      </c>
      <c r="C39" s="351">
        <v>2.9078943179845602</v>
      </c>
      <c r="D39" s="351">
        <v>53.397169173868399</v>
      </c>
      <c r="E39" s="351">
        <v>29.331545789979501</v>
      </c>
      <c r="F39" s="351">
        <v>70.773024628146601</v>
      </c>
      <c r="G39" s="351">
        <v>55.248297708362998</v>
      </c>
      <c r="H39" s="351">
        <v>52.015843999537204</v>
      </c>
      <c r="I39" s="351">
        <v>51.937504723852797</v>
      </c>
      <c r="J39" s="351">
        <v>24.642642276569699</v>
      </c>
      <c r="K39" s="351">
        <v>17.362633561429501</v>
      </c>
      <c r="L39" s="351">
        <v>43.871273396006501</v>
      </c>
      <c r="M39" s="352">
        <v>42.331586323668397</v>
      </c>
      <c r="N39" s="352">
        <v>37.965979591479098</v>
      </c>
      <c r="O39" s="351">
        <v>40.1487829575738</v>
      </c>
    </row>
    <row r="40" spans="1:15" x14ac:dyDescent="0.35">
      <c r="A40" s="337">
        <v>8</v>
      </c>
      <c r="B40" s="337" t="s">
        <v>57</v>
      </c>
      <c r="C40" s="351">
        <v>9.6629670868404696E-2</v>
      </c>
      <c r="D40" s="351">
        <v>67.7021826412076</v>
      </c>
      <c r="E40" s="351">
        <v>4.4229993576432998</v>
      </c>
      <c r="F40" s="351">
        <v>78.764536010738595</v>
      </c>
      <c r="G40" s="351">
        <v>53.113969356652497</v>
      </c>
      <c r="H40" s="351">
        <v>100</v>
      </c>
      <c r="I40" s="351">
        <v>82.422377741900306</v>
      </c>
      <c r="J40" s="351">
        <v>70.176967383520903</v>
      </c>
      <c r="K40" s="351">
        <v>52.125143447088497</v>
      </c>
      <c r="L40" s="351">
        <v>0</v>
      </c>
      <c r="M40" s="352">
        <v>40.820063407422097</v>
      </c>
      <c r="N40" s="352">
        <v>60.944897714501899</v>
      </c>
      <c r="O40" s="351">
        <v>50.882480560962001</v>
      </c>
    </row>
    <row r="41" spans="1:15" x14ac:dyDescent="0.35">
      <c r="A41" s="337">
        <v>9</v>
      </c>
      <c r="B41" s="337" t="s">
        <v>59</v>
      </c>
      <c r="C41" s="351">
        <v>0.15272293399657899</v>
      </c>
      <c r="D41" s="351">
        <v>68.977466726334995</v>
      </c>
      <c r="E41" s="351">
        <v>0</v>
      </c>
      <c r="F41" s="351">
        <v>62.1920908043083</v>
      </c>
      <c r="G41" s="351">
        <v>90.698014915041298</v>
      </c>
      <c r="H41" s="351">
        <v>0</v>
      </c>
      <c r="I41" s="351">
        <v>60.708784076436501</v>
      </c>
      <c r="J41" s="351">
        <v>82.205259412611497</v>
      </c>
      <c r="K41" s="351">
        <v>58.659461173924399</v>
      </c>
      <c r="L41" s="351">
        <v>53.683729492606602</v>
      </c>
      <c r="M41" s="352">
        <v>44.404059075936203</v>
      </c>
      <c r="N41" s="352">
        <v>51.051446831115797</v>
      </c>
      <c r="O41" s="351">
        <v>47.727752953526</v>
      </c>
    </row>
    <row r="42" spans="1:15" x14ac:dyDescent="0.35">
      <c r="A42" s="337">
        <v>10</v>
      </c>
      <c r="B42" s="337" t="s">
        <v>61</v>
      </c>
      <c r="C42" s="351">
        <v>53.998418624589199</v>
      </c>
      <c r="D42" s="351">
        <v>99.108903916596304</v>
      </c>
      <c r="E42" s="351">
        <v>11.9464877990997</v>
      </c>
      <c r="F42" s="351">
        <v>55.892245035966901</v>
      </c>
      <c r="G42" s="351">
        <v>63.6138278800249</v>
      </c>
      <c r="H42" s="351">
        <v>66.493377246054294</v>
      </c>
      <c r="I42" s="351">
        <v>79.174044380018302</v>
      </c>
      <c r="J42" s="351">
        <v>32.412671681058299</v>
      </c>
      <c r="K42" s="351">
        <v>9.7059092828685891</v>
      </c>
      <c r="L42" s="351">
        <v>26.673850440638098</v>
      </c>
      <c r="M42" s="352">
        <v>56.911976651255401</v>
      </c>
      <c r="N42" s="352">
        <v>42.891970606127501</v>
      </c>
      <c r="O42" s="351">
        <v>49.901973628691501</v>
      </c>
    </row>
    <row r="43" spans="1:15" x14ac:dyDescent="0.35">
      <c r="A43" s="337">
        <v>11</v>
      </c>
      <c r="B43" s="337" t="s">
        <v>63</v>
      </c>
      <c r="C43" s="351">
        <v>55.549688430227803</v>
      </c>
      <c r="D43" s="351">
        <v>76.598520022086404</v>
      </c>
      <c r="E43" s="351">
        <v>10.7196825130119</v>
      </c>
      <c r="F43" s="351">
        <v>72.107261995736096</v>
      </c>
      <c r="G43" s="351">
        <v>44.768489485970399</v>
      </c>
      <c r="H43" s="351">
        <v>72.293190621443202</v>
      </c>
      <c r="I43" s="351">
        <v>82.142276621174801</v>
      </c>
      <c r="J43" s="351">
        <v>58.350971959324198</v>
      </c>
      <c r="K43" s="351">
        <v>32.854338845410098</v>
      </c>
      <c r="L43" s="351">
        <v>9.8203281642277194</v>
      </c>
      <c r="M43" s="352">
        <v>51.948728489406498</v>
      </c>
      <c r="N43" s="352">
        <v>51.092221242316</v>
      </c>
      <c r="O43" s="351">
        <v>51.520474865861303</v>
      </c>
    </row>
    <row r="44" spans="1:15" x14ac:dyDescent="0.35">
      <c r="A44" s="337">
        <v>12</v>
      </c>
      <c r="B44" s="337" t="s">
        <v>65</v>
      </c>
      <c r="C44" s="351">
        <v>1.62426668007143</v>
      </c>
      <c r="D44" s="351">
        <v>46.310481457540398</v>
      </c>
      <c r="E44" s="351">
        <v>8.0800758574435108</v>
      </c>
      <c r="F44" s="351">
        <v>55.293503860380198</v>
      </c>
      <c r="G44" s="351">
        <v>13.0418072975001</v>
      </c>
      <c r="H44" s="351">
        <v>90.322779914237003</v>
      </c>
      <c r="I44" s="351">
        <v>83.706891318688406</v>
      </c>
      <c r="J44" s="351">
        <v>47.748997907571997</v>
      </c>
      <c r="K44" s="351">
        <v>30.620393718667799</v>
      </c>
      <c r="L44" s="351">
        <v>72.318647444609596</v>
      </c>
      <c r="M44" s="352">
        <v>24.870027030587099</v>
      </c>
      <c r="N44" s="352">
        <v>64.943542060754993</v>
      </c>
      <c r="O44" s="351">
        <v>44.906784545671002</v>
      </c>
    </row>
    <row r="45" spans="1:15" x14ac:dyDescent="0.35">
      <c r="A45" s="337">
        <v>13</v>
      </c>
      <c r="B45" s="337" t="s">
        <v>67</v>
      </c>
      <c r="C45" s="351">
        <v>39.629405397097798</v>
      </c>
      <c r="D45" s="351">
        <v>89.158265398723003</v>
      </c>
      <c r="E45" s="351">
        <v>12.520097912497899</v>
      </c>
      <c r="F45" s="351">
        <v>79.800616990254895</v>
      </c>
      <c r="G45" s="351">
        <v>0</v>
      </c>
      <c r="H45" s="351">
        <v>86.245353558347801</v>
      </c>
      <c r="I45" s="351">
        <v>88.405960790833703</v>
      </c>
      <c r="J45" s="351">
        <v>19.3443447852713</v>
      </c>
      <c r="K45" s="351">
        <v>0</v>
      </c>
      <c r="L45" s="351">
        <v>17.0237533120746</v>
      </c>
      <c r="M45" s="352">
        <v>44.2216771397147</v>
      </c>
      <c r="N45" s="352">
        <v>42.203882489305499</v>
      </c>
      <c r="O45" s="351">
        <v>43.2127798145101</v>
      </c>
    </row>
    <row r="46" spans="1:15" x14ac:dyDescent="0.35">
      <c r="A46" s="337">
        <v>14</v>
      </c>
      <c r="B46" s="337" t="s">
        <v>69</v>
      </c>
      <c r="C46" s="351">
        <v>6.40232128845087</v>
      </c>
      <c r="D46" s="351">
        <v>38.987133120045002</v>
      </c>
      <c r="E46" s="351">
        <v>91.902798384894197</v>
      </c>
      <c r="F46" s="351">
        <v>43.6244367557291</v>
      </c>
      <c r="G46" s="351">
        <v>81.885188752787599</v>
      </c>
      <c r="H46" s="351">
        <v>79.763963819542795</v>
      </c>
      <c r="I46" s="351">
        <v>78.888666511997997</v>
      </c>
      <c r="J46" s="351">
        <v>37.793216509478597</v>
      </c>
      <c r="K46" s="351">
        <v>51.738583179720798</v>
      </c>
      <c r="L46" s="351">
        <v>22.374902230999201</v>
      </c>
      <c r="M46" s="352">
        <v>52.560375660381297</v>
      </c>
      <c r="N46" s="352">
        <v>54.111866450347897</v>
      </c>
      <c r="O46" s="351">
        <v>53.3361210553646</v>
      </c>
    </row>
    <row r="47" spans="1:15" x14ac:dyDescent="0.35">
      <c r="A47" s="337">
        <v>15</v>
      </c>
      <c r="B47" s="337" t="s">
        <v>71</v>
      </c>
      <c r="C47" s="351">
        <v>3.01041411942589</v>
      </c>
      <c r="D47" s="351">
        <v>0</v>
      </c>
      <c r="E47" s="351">
        <v>6.46866416978777</v>
      </c>
      <c r="F47" s="351">
        <v>33.305714439556198</v>
      </c>
      <c r="G47" s="351">
        <v>100</v>
      </c>
      <c r="H47" s="351">
        <v>82.216334831560403</v>
      </c>
      <c r="I47" s="351">
        <v>65.852602898126307</v>
      </c>
      <c r="J47" s="351">
        <v>44.535706292615799</v>
      </c>
      <c r="K47" s="351">
        <v>50.977757821200903</v>
      </c>
      <c r="L47" s="351">
        <v>100</v>
      </c>
      <c r="M47" s="352">
        <v>28.556958545754</v>
      </c>
      <c r="N47" s="352">
        <v>68.716480368700701</v>
      </c>
      <c r="O47" s="351">
        <v>48.636719457227301</v>
      </c>
    </row>
    <row r="48" spans="1:15" x14ac:dyDescent="0.35">
      <c r="A48" s="337">
        <v>16</v>
      </c>
      <c r="B48" s="337" t="s">
        <v>73</v>
      </c>
      <c r="C48" s="351">
        <v>1.06447951644587</v>
      </c>
      <c r="D48" s="351">
        <v>88.241201708052799</v>
      </c>
      <c r="E48" s="351">
        <v>55.770615320217701</v>
      </c>
      <c r="F48" s="351">
        <v>0</v>
      </c>
      <c r="G48" s="351">
        <v>98.110884757196203</v>
      </c>
      <c r="H48" s="351">
        <v>80.830819138205101</v>
      </c>
      <c r="I48" s="351">
        <v>81.363088902225996</v>
      </c>
      <c r="J48" s="351">
        <v>89.4479613461951</v>
      </c>
      <c r="K48" s="351">
        <v>40.1135072233646</v>
      </c>
      <c r="L48" s="351">
        <v>34.863698235219701</v>
      </c>
      <c r="M48" s="352">
        <v>48.637436260382501</v>
      </c>
      <c r="N48" s="352">
        <v>65.323814969042104</v>
      </c>
      <c r="O48" s="351">
        <v>56.980625614712302</v>
      </c>
    </row>
    <row r="49" spans="1:15" x14ac:dyDescent="0.35">
      <c r="A49" s="337">
        <v>17</v>
      </c>
      <c r="B49" s="337" t="s">
        <v>75</v>
      </c>
      <c r="C49" s="351">
        <v>3.74844645259093</v>
      </c>
      <c r="D49" s="351">
        <v>79.992618399025304</v>
      </c>
      <c r="E49" s="351">
        <v>26.119749573136001</v>
      </c>
      <c r="F49" s="351">
        <v>57.022117389569402</v>
      </c>
      <c r="G49" s="351">
        <v>19.7540873504621</v>
      </c>
      <c r="H49" s="351">
        <v>61.092904737774703</v>
      </c>
      <c r="I49" s="351">
        <v>100</v>
      </c>
      <c r="J49" s="351">
        <v>74.208403464160995</v>
      </c>
      <c r="K49" s="351">
        <v>49.502683178474797</v>
      </c>
      <c r="L49" s="351">
        <v>37.564102968812399</v>
      </c>
      <c r="M49" s="352">
        <v>37.327403832956797</v>
      </c>
      <c r="N49" s="352">
        <v>64.4736188698446</v>
      </c>
      <c r="O49" s="351">
        <v>50.900511351400702</v>
      </c>
    </row>
    <row r="50" spans="1:15" x14ac:dyDescent="0.35">
      <c r="A50" s="337">
        <v>18</v>
      </c>
      <c r="B50" s="337" t="s">
        <v>77</v>
      </c>
      <c r="C50" s="351">
        <v>12.5072144507579</v>
      </c>
      <c r="D50" s="351">
        <v>100</v>
      </c>
      <c r="E50" s="351">
        <v>100</v>
      </c>
      <c r="F50" s="351">
        <v>69.994956449398899</v>
      </c>
      <c r="G50" s="351">
        <v>46.704709081372997</v>
      </c>
      <c r="H50" s="351">
        <v>57.497583316819103</v>
      </c>
      <c r="I50" s="351">
        <v>0</v>
      </c>
      <c r="J50" s="351">
        <v>42.233199055931202</v>
      </c>
      <c r="K50" s="351">
        <v>42.778352614503</v>
      </c>
      <c r="L50" s="351">
        <v>77.837490484433104</v>
      </c>
      <c r="M50" s="352">
        <v>65.841375996305999</v>
      </c>
      <c r="N50" s="352">
        <v>44.069325094337302</v>
      </c>
      <c r="O50" s="351">
        <v>54.9553505453216</v>
      </c>
    </row>
    <row r="51" spans="1:15" x14ac:dyDescent="0.35">
      <c r="A51" s="337">
        <v>19</v>
      </c>
      <c r="B51" s="337" t="s">
        <v>79</v>
      </c>
      <c r="C51" s="351">
        <v>10.831600572256701</v>
      </c>
      <c r="D51" s="351">
        <v>89.5711522238703</v>
      </c>
      <c r="E51" s="351">
        <v>22.336985819758599</v>
      </c>
      <c r="F51" s="351">
        <v>46.395094499487797</v>
      </c>
      <c r="G51" s="351">
        <v>52.0273680215696</v>
      </c>
      <c r="H51" s="351">
        <v>83.692358580844797</v>
      </c>
      <c r="I51" s="351">
        <v>64.815552760684895</v>
      </c>
      <c r="J51" s="351">
        <v>25.264856200737</v>
      </c>
      <c r="K51" s="351">
        <v>72.632933348352793</v>
      </c>
      <c r="L51" s="351">
        <v>20.853317264649601</v>
      </c>
      <c r="M51" s="352">
        <v>44.232440227388601</v>
      </c>
      <c r="N51" s="352">
        <v>53.451803631053799</v>
      </c>
      <c r="O51" s="351">
        <v>48.8421219292212</v>
      </c>
    </row>
    <row r="52" spans="1:15" x14ac:dyDescent="0.35">
      <c r="H52" s="353"/>
      <c r="I52" s="353"/>
    </row>
    <row r="54" spans="1:15" x14ac:dyDescent="0.35">
      <c r="H54" s="340"/>
      <c r="I54" s="34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T115"/>
  <sheetViews>
    <sheetView zoomScale="70" zoomScaleNormal="70" workbookViewId="0">
      <selection activeCell="H1" sqref="H1"/>
    </sheetView>
  </sheetViews>
  <sheetFormatPr defaultColWidth="8.4140625" defaultRowHeight="10" x14ac:dyDescent="0.2"/>
  <cols>
    <col min="1" max="1" width="49.9140625" style="1" customWidth="1"/>
    <col min="2" max="2" width="17.5" style="1" customWidth="1"/>
    <col min="3" max="3" width="14.5" style="2" customWidth="1"/>
    <col min="4" max="4" width="20.6640625" style="1" customWidth="1"/>
    <col min="5" max="5" width="15.83203125" style="1" customWidth="1"/>
    <col min="6" max="6" width="16.33203125" style="1" customWidth="1"/>
    <col min="7" max="7" width="8.4140625" style="1"/>
    <col min="8" max="8" width="47.4140625" style="1" customWidth="1"/>
    <col min="9" max="9" width="17.5" style="1" customWidth="1"/>
    <col min="10" max="10" width="10.4140625" style="1" customWidth="1"/>
    <col min="11" max="11" width="22.4140625" style="1" customWidth="1"/>
    <col min="12" max="12" width="18.6640625" style="1" customWidth="1"/>
    <col min="13" max="13" width="13.9140625" style="1" customWidth="1"/>
    <col min="14" max="14" width="8.4140625" style="1"/>
    <col min="15" max="15" width="48.08203125" style="1" bestFit="1" customWidth="1"/>
    <col min="16" max="16" width="17.5" style="1" customWidth="1"/>
    <col min="17" max="17" width="10.6640625" style="1" customWidth="1"/>
    <col min="18" max="18" width="20.08203125" style="1" customWidth="1"/>
    <col min="19" max="19" width="19.6640625" style="1" customWidth="1"/>
    <col min="20" max="20" width="13.9140625" style="1" customWidth="1"/>
    <col min="21" max="16384" width="8.4140625" style="1"/>
  </cols>
  <sheetData>
    <row r="1" spans="1:20" ht="18" x14ac:dyDescent="0.4">
      <c r="A1" s="444" t="s">
        <v>794</v>
      </c>
    </row>
    <row r="2" spans="1:20" s="311" customFormat="1" ht="15.5" x14ac:dyDescent="0.35">
      <c r="A2" s="311" t="s">
        <v>518</v>
      </c>
      <c r="C2" s="356"/>
    </row>
    <row r="3" spans="1:20" s="311" customFormat="1" ht="15.5" x14ac:dyDescent="0.35">
      <c r="A3" s="357" t="s">
        <v>519</v>
      </c>
      <c r="B3" s="357"/>
      <c r="C3" s="357"/>
      <c r="D3" s="357"/>
      <c r="E3" s="357"/>
      <c r="F3" s="357"/>
      <c r="H3" s="358" t="s">
        <v>520</v>
      </c>
      <c r="I3" s="358"/>
      <c r="J3" s="358"/>
      <c r="K3" s="358"/>
      <c r="L3" s="358"/>
      <c r="M3" s="358"/>
      <c r="O3" s="359" t="s">
        <v>521</v>
      </c>
      <c r="P3" s="359"/>
      <c r="Q3" s="359"/>
      <c r="R3" s="359"/>
      <c r="S3" s="359"/>
      <c r="T3" s="359"/>
    </row>
    <row r="4" spans="1:20" s="311" customFormat="1" ht="31" x14ac:dyDescent="0.35">
      <c r="A4" s="360" t="s">
        <v>522</v>
      </c>
      <c r="B4" s="360" t="s">
        <v>523</v>
      </c>
      <c r="C4" s="361" t="s">
        <v>524</v>
      </c>
      <c r="D4" s="360" t="s">
        <v>525</v>
      </c>
      <c r="E4" s="360" t="s">
        <v>526</v>
      </c>
      <c r="F4" s="360" t="s">
        <v>527</v>
      </c>
      <c r="H4" s="362" t="s">
        <v>522</v>
      </c>
      <c r="I4" s="362" t="s">
        <v>523</v>
      </c>
      <c r="J4" s="362" t="s">
        <v>524</v>
      </c>
      <c r="K4" s="362" t="s">
        <v>525</v>
      </c>
      <c r="L4" s="362" t="s">
        <v>526</v>
      </c>
      <c r="M4" s="362" t="s">
        <v>527</v>
      </c>
      <c r="O4" s="362" t="s">
        <v>522</v>
      </c>
      <c r="P4" s="362" t="s">
        <v>523</v>
      </c>
      <c r="Q4" s="362" t="s">
        <v>524</v>
      </c>
      <c r="R4" s="362" t="s">
        <v>525</v>
      </c>
      <c r="S4" s="362" t="s">
        <v>526</v>
      </c>
      <c r="T4" s="362" t="s">
        <v>528</v>
      </c>
    </row>
    <row r="5" spans="1:20" s="311" customFormat="1" ht="15.5" x14ac:dyDescent="0.35">
      <c r="A5" s="363" t="s">
        <v>529</v>
      </c>
      <c r="B5" s="364">
        <v>5473001</v>
      </c>
      <c r="C5" s="365">
        <f t="shared" ref="C5:C36" si="0">B5/$B$98</f>
        <v>4.447522414354939</v>
      </c>
      <c r="D5" s="366">
        <v>681.79718017578</v>
      </c>
      <c r="E5" s="367">
        <f>D5*C5</f>
        <v>3032.3082408757746</v>
      </c>
      <c r="F5" s="368">
        <f t="shared" ref="F5:F36" si="1">D5/$E$98</f>
        <v>7.3679434594863216E-2</v>
      </c>
      <c r="H5" s="363" t="s">
        <v>529</v>
      </c>
      <c r="I5" s="364">
        <v>1230573</v>
      </c>
      <c r="J5" s="369">
        <f t="shared" ref="J5:J29" si="2">I5/$I$31</f>
        <v>1</v>
      </c>
      <c r="K5" s="366">
        <v>21205.85</v>
      </c>
      <c r="L5" s="367">
        <f>K5*J5</f>
        <v>21205.85</v>
      </c>
      <c r="M5" s="370">
        <f t="shared" ref="M5:M29" si="3">K5/$L$31</f>
        <v>0.86858116878076974</v>
      </c>
      <c r="O5" s="363" t="s">
        <v>529</v>
      </c>
      <c r="P5" s="364">
        <v>5473001</v>
      </c>
      <c r="Q5" s="369">
        <f t="shared" ref="Q5:Q31" si="4">P5/$P$33</f>
        <v>4.447522414354939</v>
      </c>
      <c r="R5" s="366">
        <v>3614.9436035156</v>
      </c>
      <c r="S5" s="367">
        <f>R5*Q5</f>
        <v>16077.542703264644</v>
      </c>
      <c r="T5" s="368">
        <f t="shared" ref="T5:T31" si="5">R5/$S$33</f>
        <v>0.19112030236815775</v>
      </c>
    </row>
    <row r="6" spans="1:20" s="311" customFormat="1" ht="15.5" x14ac:dyDescent="0.35">
      <c r="A6" s="363" t="s">
        <v>530</v>
      </c>
      <c r="B6" s="367">
        <v>97123</v>
      </c>
      <c r="C6" s="365">
        <f t="shared" si="0"/>
        <v>7.8925021108052912E-2</v>
      </c>
      <c r="D6" s="366">
        <v>1162.9290771484</v>
      </c>
      <c r="E6" s="367">
        <f t="shared" ref="E6:E15" si="6">D6*C6</f>
        <v>91.784201961105964</v>
      </c>
      <c r="F6" s="368">
        <f t="shared" si="1"/>
        <v>0.12567367447329314</v>
      </c>
      <c r="H6" s="363" t="s">
        <v>531</v>
      </c>
      <c r="I6" s="367">
        <v>373768</v>
      </c>
      <c r="J6" s="369">
        <f t="shared" si="2"/>
        <v>0.30373492673738167</v>
      </c>
      <c r="K6" s="366">
        <v>234.91239999999999</v>
      </c>
      <c r="L6" s="367">
        <f>K6*J6</f>
        <v>71.351100603702491</v>
      </c>
      <c r="M6" s="370">
        <f t="shared" si="3"/>
        <v>9.6218961726644153E-3</v>
      </c>
      <c r="O6" s="363" t="s">
        <v>532</v>
      </c>
      <c r="P6" s="367">
        <v>382653</v>
      </c>
      <c r="Q6" s="369">
        <f t="shared" si="4"/>
        <v>0.31095514041019917</v>
      </c>
      <c r="R6" s="366">
        <v>43.142547607422003</v>
      </c>
      <c r="S6" s="367">
        <f t="shared" ref="S6:S12" si="7">R6*Q6</f>
        <v>13.415396948919611</v>
      </c>
      <c r="T6" s="368">
        <f t="shared" si="5"/>
        <v>2.2809254162760141E-3</v>
      </c>
    </row>
    <row r="7" spans="1:20" s="311" customFormat="1" ht="15.5" x14ac:dyDescent="0.35">
      <c r="A7" s="363" t="s">
        <v>533</v>
      </c>
      <c r="B7" s="367">
        <v>285530</v>
      </c>
      <c r="C7" s="365">
        <f t="shared" si="0"/>
        <v>0.23203011930214623</v>
      </c>
      <c r="D7" s="366">
        <v>204.23052978516</v>
      </c>
      <c r="E7" s="367">
        <f t="shared" si="6"/>
        <v>47.387634191191204</v>
      </c>
      <c r="F7" s="368">
        <f t="shared" si="1"/>
        <v>2.2070478434217652E-2</v>
      </c>
      <c r="H7" s="363" t="s">
        <v>534</v>
      </c>
      <c r="I7" s="367">
        <v>103969</v>
      </c>
      <c r="J7" s="369">
        <f t="shared" si="2"/>
        <v>8.4488283100636857E-2</v>
      </c>
      <c r="K7" s="366">
        <v>2409.3739999999998</v>
      </c>
      <c r="L7" s="367">
        <f>K7*J7</f>
        <v>203.56387260731381</v>
      </c>
      <c r="M7" s="370">
        <f t="shared" si="3"/>
        <v>9.8686772044034934E-2</v>
      </c>
      <c r="O7" s="363" t="s">
        <v>535</v>
      </c>
      <c r="P7" s="367">
        <v>656978</v>
      </c>
      <c r="Q7" s="369">
        <f t="shared" si="4"/>
        <v>0.53387974545191552</v>
      </c>
      <c r="R7" s="366">
        <v>335.25131225586</v>
      </c>
      <c r="S7" s="367">
        <f t="shared" si="7"/>
        <v>178.98388524957917</v>
      </c>
      <c r="T7" s="368">
        <f t="shared" si="5"/>
        <v>1.7724573104086361E-2</v>
      </c>
    </row>
    <row r="8" spans="1:20" s="311" customFormat="1" ht="15.5" x14ac:dyDescent="0.35">
      <c r="A8" s="363" t="s">
        <v>535</v>
      </c>
      <c r="B8" s="367">
        <v>656978</v>
      </c>
      <c r="C8" s="365">
        <f t="shared" si="0"/>
        <v>0.53387974545191552</v>
      </c>
      <c r="D8" s="366">
        <v>389.21951293945</v>
      </c>
      <c r="E8" s="367">
        <f t="shared" si="6"/>
        <v>207.7964144930321</v>
      </c>
      <c r="F8" s="368">
        <f t="shared" si="1"/>
        <v>4.2061590280078803E-2</v>
      </c>
      <c r="H8" s="363" t="s">
        <v>536</v>
      </c>
      <c r="I8" s="367">
        <v>59551</v>
      </c>
      <c r="J8" s="369">
        <f t="shared" si="2"/>
        <v>4.8392903143494939E-2</v>
      </c>
      <c r="K8" s="366">
        <v>6284.7309999999998</v>
      </c>
      <c r="L8" s="367">
        <f>K8*J8</f>
        <v>304.1363785659201</v>
      </c>
      <c r="M8" s="370">
        <f t="shared" si="3"/>
        <v>0.25741948554067562</v>
      </c>
      <c r="O8" s="363" t="s">
        <v>537</v>
      </c>
      <c r="P8" s="367">
        <v>500698</v>
      </c>
      <c r="Q8" s="369">
        <f t="shared" si="4"/>
        <v>0.40688199724843632</v>
      </c>
      <c r="R8" s="366">
        <v>-246.70681762695</v>
      </c>
      <c r="S8" s="367">
        <f t="shared" si="7"/>
        <v>-100.38056269085915</v>
      </c>
      <c r="T8" s="368">
        <f t="shared" si="5"/>
        <v>-1.3043268928260379E-2</v>
      </c>
    </row>
    <row r="9" spans="1:20" s="311" customFormat="1" ht="15.5" x14ac:dyDescent="0.35">
      <c r="A9" s="363" t="s">
        <v>537</v>
      </c>
      <c r="B9" s="367">
        <v>500698</v>
      </c>
      <c r="C9" s="365">
        <f t="shared" si="0"/>
        <v>0.40688199724843632</v>
      </c>
      <c r="D9" s="366">
        <v>179.8014831543</v>
      </c>
      <c r="E9" s="367">
        <f t="shared" si="6"/>
        <v>73.157986574052657</v>
      </c>
      <c r="F9" s="368">
        <f t="shared" si="1"/>
        <v>1.9430516879977634E-2</v>
      </c>
      <c r="H9" s="363" t="s">
        <v>538</v>
      </c>
      <c r="I9" s="367">
        <v>243829</v>
      </c>
      <c r="J9" s="369">
        <f t="shared" si="2"/>
        <v>0.1981426538693763</v>
      </c>
      <c r="K9" s="366">
        <v>313.71109999999999</v>
      </c>
      <c r="L9" s="367">
        <f t="shared" ref="L9:L29" si="8">K9*J9</f>
        <v>62.159549902281292</v>
      </c>
      <c r="M9" s="370">
        <f t="shared" si="3"/>
        <v>1.2849452103900618E-2</v>
      </c>
      <c r="O9" s="363" t="s">
        <v>539</v>
      </c>
      <c r="P9" s="367">
        <v>970159</v>
      </c>
      <c r="Q9" s="369">
        <f t="shared" si="4"/>
        <v>0.78837988481788568</v>
      </c>
      <c r="R9" s="366">
        <v>-96.779319763184006</v>
      </c>
      <c r="S9" s="367">
        <f t="shared" si="7"/>
        <v>-76.298868967652339</v>
      </c>
      <c r="T9" s="368">
        <f t="shared" si="5"/>
        <v>-5.116675357849613E-3</v>
      </c>
    </row>
    <row r="10" spans="1:20" s="311" customFormat="1" ht="15.5" x14ac:dyDescent="0.35">
      <c r="A10" s="363" t="s">
        <v>539</v>
      </c>
      <c r="B10" s="367">
        <v>970159</v>
      </c>
      <c r="C10" s="365">
        <f t="shared" si="0"/>
        <v>0.78837988481788568</v>
      </c>
      <c r="D10" s="366">
        <v>122.5502166748</v>
      </c>
      <c r="E10" s="367">
        <f t="shared" si="6"/>
        <v>96.616125706485761</v>
      </c>
      <c r="F10" s="368">
        <f t="shared" si="1"/>
        <v>1.3243572922594498E-2</v>
      </c>
      <c r="H10" s="363" t="s">
        <v>540</v>
      </c>
      <c r="I10" s="367">
        <v>121945</v>
      </c>
      <c r="J10" s="369">
        <f t="shared" si="2"/>
        <v>9.9096112136378742E-2</v>
      </c>
      <c r="K10" s="366">
        <v>12011.74</v>
      </c>
      <c r="L10" s="367">
        <f t="shared" si="8"/>
        <v>1190.316733993026</v>
      </c>
      <c r="M10" s="370">
        <f t="shared" si="3"/>
        <v>0.49199495272722971</v>
      </c>
      <c r="O10" s="363" t="s">
        <v>541</v>
      </c>
      <c r="P10" s="367">
        <v>724727</v>
      </c>
      <c r="Q10" s="369">
        <f t="shared" si="4"/>
        <v>0.58893458575801683</v>
      </c>
      <c r="R10" s="366">
        <v>97.684501647949006</v>
      </c>
      <c r="S10" s="367">
        <f t="shared" si="7"/>
        <v>57.529781513013162</v>
      </c>
      <c r="T10" s="368">
        <f t="shared" si="5"/>
        <v>5.1645318819033273E-3</v>
      </c>
    </row>
    <row r="11" spans="1:20" s="311" customFormat="1" ht="15.5" x14ac:dyDescent="0.35">
      <c r="A11" s="363" t="s">
        <v>541</v>
      </c>
      <c r="B11" s="367">
        <v>724727</v>
      </c>
      <c r="C11" s="365">
        <f t="shared" si="0"/>
        <v>0.58893458575801683</v>
      </c>
      <c r="D11" s="366">
        <v>65.586547851562997</v>
      </c>
      <c r="E11" s="367">
        <f t="shared" si="6"/>
        <v>38.626186390258603</v>
      </c>
      <c r="F11" s="368">
        <f t="shared" si="1"/>
        <v>7.0877086371730442E-3</v>
      </c>
      <c r="H11" s="363" t="s">
        <v>542</v>
      </c>
      <c r="I11" s="367">
        <v>19525</v>
      </c>
      <c r="J11" s="369">
        <f t="shared" si="2"/>
        <v>1.5866592229798637E-2</v>
      </c>
      <c r="K11" s="366">
        <v>399.04059999999998</v>
      </c>
      <c r="L11" s="367">
        <f t="shared" si="8"/>
        <v>6.3314144833341857</v>
      </c>
      <c r="M11" s="370">
        <f t="shared" si="3"/>
        <v>1.634450638568978E-2</v>
      </c>
      <c r="O11" s="363" t="s">
        <v>543</v>
      </c>
      <c r="P11" s="367">
        <v>693285</v>
      </c>
      <c r="Q11" s="369">
        <f t="shared" si="4"/>
        <v>0.56338388701848652</v>
      </c>
      <c r="R11" s="366">
        <v>149.4991607666</v>
      </c>
      <c r="S11" s="367">
        <f t="shared" si="7"/>
        <v>84.225418298688723</v>
      </c>
      <c r="T11" s="368">
        <f t="shared" si="5"/>
        <v>7.9039475973321678E-3</v>
      </c>
    </row>
    <row r="12" spans="1:20" s="311" customFormat="1" ht="15.5" x14ac:dyDescent="0.35">
      <c r="A12" s="363" t="s">
        <v>543</v>
      </c>
      <c r="B12" s="367">
        <v>693285</v>
      </c>
      <c r="C12" s="365">
        <f t="shared" si="0"/>
        <v>0.56338388701848652</v>
      </c>
      <c r="D12" s="366">
        <v>292.01483154297</v>
      </c>
      <c r="E12" s="367">
        <f t="shared" si="6"/>
        <v>164.51645086172698</v>
      </c>
      <c r="F12" s="368">
        <f t="shared" si="1"/>
        <v>3.1557020631638816E-2</v>
      </c>
      <c r="H12" s="363" t="s">
        <v>544</v>
      </c>
      <c r="I12" s="367">
        <v>35738</v>
      </c>
      <c r="J12" s="369">
        <f t="shared" si="2"/>
        <v>2.9041755344867796E-2</v>
      </c>
      <c r="K12" s="366">
        <v>2511.7570000000001</v>
      </c>
      <c r="L12" s="367">
        <f t="shared" si="8"/>
        <v>72.945832279759102</v>
      </c>
      <c r="M12" s="370">
        <f t="shared" si="3"/>
        <v>0.10288032928429089</v>
      </c>
      <c r="O12" s="363" t="s">
        <v>545</v>
      </c>
      <c r="P12" s="367">
        <v>537288</v>
      </c>
      <c r="Q12" s="369">
        <f t="shared" si="4"/>
        <v>0.43661611298151348</v>
      </c>
      <c r="R12" s="366">
        <v>-11.376372337341</v>
      </c>
      <c r="S12" s="367">
        <f t="shared" si="7"/>
        <v>-4.9671074697602426</v>
      </c>
      <c r="T12" s="368">
        <f t="shared" si="5"/>
        <v>-6.0146324796072975E-4</v>
      </c>
    </row>
    <row r="13" spans="1:20" s="311" customFormat="1" ht="15.5" x14ac:dyDescent="0.35">
      <c r="A13" s="363" t="s">
        <v>531</v>
      </c>
      <c r="B13" s="367">
        <v>373768</v>
      </c>
      <c r="C13" s="365">
        <f t="shared" si="0"/>
        <v>0.30373492673738167</v>
      </c>
      <c r="D13" s="330">
        <v>637.69787597656</v>
      </c>
      <c r="E13" s="367">
        <f t="shared" si="6"/>
        <v>193.69111764032436</v>
      </c>
      <c r="F13" s="368">
        <f t="shared" si="1"/>
        <v>6.8913777161977233E-2</v>
      </c>
      <c r="H13" s="363" t="s">
        <v>546</v>
      </c>
      <c r="I13" s="367">
        <v>44205</v>
      </c>
      <c r="J13" s="369">
        <f t="shared" si="2"/>
        <v>3.5922289860089565E-2</v>
      </c>
      <c r="K13" s="366">
        <v>720.5086</v>
      </c>
      <c r="L13" s="367">
        <f t="shared" si="8"/>
        <v>25.882318775887327</v>
      </c>
      <c r="M13" s="370">
        <f t="shared" si="3"/>
        <v>2.9511677292096104E-2</v>
      </c>
      <c r="O13" s="363" t="s">
        <v>542</v>
      </c>
      <c r="P13" s="367">
        <v>87018</v>
      </c>
      <c r="Q13" s="369">
        <f t="shared" si="4"/>
        <v>7.0713399367611673E-2</v>
      </c>
      <c r="R13" s="366">
        <v>2003.5391845703</v>
      </c>
      <c r="S13" s="367">
        <f t="shared" ref="S13:S31" si="9">R13*Q13</f>
        <v>141.67706650717867</v>
      </c>
      <c r="T13" s="368">
        <f t="shared" si="5"/>
        <v>0.10592613793176027</v>
      </c>
    </row>
    <row r="14" spans="1:20" s="311" customFormat="1" ht="15.5" x14ac:dyDescent="0.35">
      <c r="A14" s="371" t="s">
        <v>547</v>
      </c>
      <c r="B14" s="367">
        <v>103969</v>
      </c>
      <c r="C14" s="365">
        <f t="shared" si="0"/>
        <v>8.4488283100636857E-2</v>
      </c>
      <c r="D14" s="330">
        <v>751.59478759766</v>
      </c>
      <c r="E14" s="367">
        <f t="shared" si="6"/>
        <v>63.500953191514128</v>
      </c>
      <c r="F14" s="368">
        <f t="shared" si="1"/>
        <v>8.1222217698765864E-2</v>
      </c>
      <c r="H14" s="363" t="s">
        <v>548</v>
      </c>
      <c r="I14" s="367">
        <v>6720</v>
      </c>
      <c r="J14" s="369">
        <f t="shared" si="2"/>
        <v>5.4608706675670603E-3</v>
      </c>
      <c r="K14" s="366">
        <v>4533.5690000000004</v>
      </c>
      <c r="L14" s="367">
        <f t="shared" si="8"/>
        <v>24.757233971491331</v>
      </c>
      <c r="M14" s="370">
        <f t="shared" si="3"/>
        <v>0.18569275274361868</v>
      </c>
      <c r="O14" s="363" t="s">
        <v>544</v>
      </c>
      <c r="P14" s="367">
        <v>114287</v>
      </c>
      <c r="Q14" s="369">
        <f t="shared" si="4"/>
        <v>9.2872994938130449E-2</v>
      </c>
      <c r="R14" s="366">
        <v>1206.21875</v>
      </c>
      <c r="S14" s="367">
        <f t="shared" si="9"/>
        <v>112.02514786302804</v>
      </c>
      <c r="T14" s="368">
        <f t="shared" si="5"/>
        <v>6.3772196058036357E-2</v>
      </c>
    </row>
    <row r="15" spans="1:20" s="311" customFormat="1" ht="15.5" x14ac:dyDescent="0.35">
      <c r="A15" s="371" t="s">
        <v>549</v>
      </c>
      <c r="B15" s="367">
        <v>59551</v>
      </c>
      <c r="C15" s="365">
        <f t="shared" si="0"/>
        <v>4.8392903143494939E-2</v>
      </c>
      <c r="D15" s="372">
        <v>437.84503173828</v>
      </c>
      <c r="E15" s="367">
        <f t="shared" si="6"/>
        <v>21.188592212771052</v>
      </c>
      <c r="F15" s="368">
        <f t="shared" si="1"/>
        <v>4.7316379880493399E-2</v>
      </c>
      <c r="H15" s="363" t="s">
        <v>550</v>
      </c>
      <c r="I15" s="367">
        <v>1309</v>
      </c>
      <c r="J15" s="369">
        <f t="shared" si="2"/>
        <v>1.0637320987865002E-3</v>
      </c>
      <c r="K15" s="366">
        <v>6207.143</v>
      </c>
      <c r="L15" s="367">
        <f t="shared" si="8"/>
        <v>6.6027372508579329</v>
      </c>
      <c r="M15" s="370">
        <f t="shared" si="3"/>
        <v>0.25424151928497907</v>
      </c>
      <c r="O15" s="363" t="s">
        <v>551</v>
      </c>
      <c r="P15" s="367">
        <v>35071</v>
      </c>
      <c r="Q15" s="369">
        <f t="shared" si="4"/>
        <v>2.8499731425929223E-2</v>
      </c>
      <c r="R15" s="366">
        <v>22356.443359375</v>
      </c>
      <c r="S15" s="367">
        <f t="shared" si="9"/>
        <v>637.15263138118632</v>
      </c>
      <c r="T15" s="368">
        <f t="shared" si="5"/>
        <v>1.1819742389798265</v>
      </c>
    </row>
    <row r="16" spans="1:20" s="311" customFormat="1" ht="15.5" x14ac:dyDescent="0.35">
      <c r="A16" s="371" t="s">
        <v>552</v>
      </c>
      <c r="B16" s="311">
        <v>2775192</v>
      </c>
      <c r="C16" s="365">
        <f t="shared" si="0"/>
        <v>2.2552030639385068</v>
      </c>
      <c r="D16" s="372">
        <v>37.580646514892997</v>
      </c>
      <c r="E16" s="367">
        <f t="shared" ref="E16:E47" si="10">D16*C16</f>
        <v>84.751989165176653</v>
      </c>
      <c r="F16" s="368">
        <f t="shared" si="1"/>
        <v>4.0612089158433501E-3</v>
      </c>
      <c r="H16" s="363" t="s">
        <v>553</v>
      </c>
      <c r="I16" s="367">
        <v>16167</v>
      </c>
      <c r="J16" s="369">
        <f t="shared" si="2"/>
        <v>1.313778215514236E-2</v>
      </c>
      <c r="K16" s="366">
        <v>4047.8339999999998</v>
      </c>
      <c r="L16" s="367">
        <f t="shared" si="8"/>
        <v>53.179561292178519</v>
      </c>
      <c r="M16" s="370">
        <f t="shared" si="3"/>
        <v>0.16579728644456782</v>
      </c>
      <c r="O16" s="363" t="s">
        <v>554</v>
      </c>
      <c r="P16" s="367">
        <v>12706</v>
      </c>
      <c r="Q16" s="369">
        <f t="shared" si="4"/>
        <v>1.0325271235432599E-2</v>
      </c>
      <c r="R16" s="366">
        <v>3677.6511230469</v>
      </c>
      <c r="S16" s="367">
        <f t="shared" si="9"/>
        <v>37.972745354752554</v>
      </c>
      <c r="T16" s="368">
        <f t="shared" si="5"/>
        <v>0.19443561829229108</v>
      </c>
    </row>
    <row r="17" spans="1:20" s="311" customFormat="1" ht="15.5" x14ac:dyDescent="0.35">
      <c r="A17" s="371" t="s">
        <v>555</v>
      </c>
      <c r="B17" s="311">
        <v>70948</v>
      </c>
      <c r="C17" s="365">
        <f t="shared" si="0"/>
        <v>5.7654442280141042E-2</v>
      </c>
      <c r="D17" s="372">
        <v>861.42541503906</v>
      </c>
      <c r="E17" s="367">
        <f t="shared" si="10"/>
        <v>49.665001870016027</v>
      </c>
      <c r="F17" s="368">
        <f t="shared" si="1"/>
        <v>9.3091229138495032E-2</v>
      </c>
      <c r="H17" s="363" t="s">
        <v>556</v>
      </c>
      <c r="I17" s="367">
        <v>23133</v>
      </c>
      <c r="J17" s="369">
        <f t="shared" si="2"/>
        <v>1.8798559695361428E-2</v>
      </c>
      <c r="K17" s="366">
        <v>2392.7080000000001</v>
      </c>
      <c r="L17" s="367">
        <f t="shared" si="8"/>
        <v>44.97946417156885</v>
      </c>
      <c r="M17" s="370">
        <f t="shared" si="3"/>
        <v>9.8004140894663416E-2</v>
      </c>
      <c r="O17" s="363" t="s">
        <v>557</v>
      </c>
      <c r="P17" s="367">
        <v>33300</v>
      </c>
      <c r="Q17" s="369">
        <f t="shared" si="4"/>
        <v>2.7060564468747487E-2</v>
      </c>
      <c r="R17" s="366">
        <v>5139.6850585938</v>
      </c>
      <c r="S17" s="367">
        <f t="shared" si="9"/>
        <v>139.08277887713572</v>
      </c>
      <c r="T17" s="368">
        <f t="shared" si="5"/>
        <v>0.27173263824095245</v>
      </c>
    </row>
    <row r="18" spans="1:20" s="311" customFormat="1" ht="15.5" x14ac:dyDescent="0.35">
      <c r="A18" s="371" t="s">
        <v>558</v>
      </c>
      <c r="B18" s="311">
        <v>8557</v>
      </c>
      <c r="C18" s="365">
        <f t="shared" si="0"/>
        <v>6.9536711759481153E-3</v>
      </c>
      <c r="D18" s="372">
        <v>2450.7072753906</v>
      </c>
      <c r="E18" s="367">
        <f t="shared" si="10"/>
        <v>17.041412541569954</v>
      </c>
      <c r="F18" s="368">
        <f t="shared" si="1"/>
        <v>0.26483935642230683</v>
      </c>
      <c r="H18" s="363" t="s">
        <v>559</v>
      </c>
      <c r="I18" s="367">
        <v>64669</v>
      </c>
      <c r="J18" s="369">
        <f t="shared" si="2"/>
        <v>5.2551941250133065E-2</v>
      </c>
      <c r="K18" s="366">
        <v>1210.7329999999999</v>
      </c>
      <c r="L18" s="367">
        <f t="shared" si="8"/>
        <v>63.626369485597351</v>
      </c>
      <c r="M18" s="370">
        <f t="shared" si="3"/>
        <v>4.9591027203410742E-2</v>
      </c>
      <c r="O18" s="363" t="s">
        <v>548</v>
      </c>
      <c r="P18" s="367">
        <v>20304</v>
      </c>
      <c r="Q18" s="369">
        <f t="shared" si="4"/>
        <v>1.6499630659863332E-2</v>
      </c>
      <c r="R18" s="366">
        <v>2582.4108886719</v>
      </c>
      <c r="S18" s="367">
        <f t="shared" si="9"/>
        <v>42.608825875095796</v>
      </c>
      <c r="T18" s="368">
        <f t="shared" si="5"/>
        <v>0.13653080214081592</v>
      </c>
    </row>
    <row r="19" spans="1:20" s="311" customFormat="1" ht="15.5" x14ac:dyDescent="0.35">
      <c r="A19" s="371" t="s">
        <v>560</v>
      </c>
      <c r="B19" s="311">
        <v>1638</v>
      </c>
      <c r="C19" s="365">
        <f t="shared" si="0"/>
        <v>1.331087225219471E-3</v>
      </c>
      <c r="D19" s="372">
        <v>1541.5474853516</v>
      </c>
      <c r="E19" s="367">
        <f t="shared" si="10"/>
        <v>2.0519341648207146</v>
      </c>
      <c r="F19" s="368">
        <f t="shared" si="1"/>
        <v>0.16658964047424771</v>
      </c>
      <c r="H19" s="363" t="s">
        <v>561</v>
      </c>
      <c r="I19" s="367">
        <v>39516</v>
      </c>
      <c r="J19" s="369">
        <f t="shared" si="2"/>
        <v>3.2111869836247017E-2</v>
      </c>
      <c r="K19" s="366">
        <v>4820.0429999999997</v>
      </c>
      <c r="L19" s="367">
        <f t="shared" si="8"/>
        <v>154.78059342111357</v>
      </c>
      <c r="M19" s="370">
        <f t="shared" si="3"/>
        <v>0.19742658665007853</v>
      </c>
      <c r="O19" s="363" t="s">
        <v>550</v>
      </c>
      <c r="P19" s="367">
        <v>3280</v>
      </c>
      <c r="Q19" s="369">
        <f t="shared" si="4"/>
        <v>2.6654249686934462E-3</v>
      </c>
      <c r="R19" s="366">
        <v>9765.4501953125</v>
      </c>
      <c r="S19" s="367">
        <f t="shared" si="9"/>
        <v>26.029074781118229</v>
      </c>
      <c r="T19" s="368">
        <f t="shared" si="5"/>
        <v>0.51629458126932459</v>
      </c>
    </row>
    <row r="20" spans="1:20" s="311" customFormat="1" ht="15.5" x14ac:dyDescent="0.35">
      <c r="A20" s="371" t="s">
        <v>562</v>
      </c>
      <c r="B20" s="311">
        <v>171253</v>
      </c>
      <c r="C20" s="365">
        <f t="shared" si="0"/>
        <v>0.13916525065965205</v>
      </c>
      <c r="D20" s="372">
        <v>5516.4584960938</v>
      </c>
      <c r="E20" s="367">
        <f t="shared" si="10"/>
        <v>767.69932936246084</v>
      </c>
      <c r="F20" s="368">
        <f t="shared" si="1"/>
        <v>0.59614435902100738</v>
      </c>
      <c r="H20" s="363" t="s">
        <v>563</v>
      </c>
      <c r="I20" s="367">
        <v>9428</v>
      </c>
      <c r="J20" s="369">
        <f t="shared" si="2"/>
        <v>7.6614715258664055E-3</v>
      </c>
      <c r="K20" s="366">
        <v>3197.9479999999999</v>
      </c>
      <c r="L20" s="367">
        <f t="shared" si="8"/>
        <v>24.500987543201418</v>
      </c>
      <c r="M20" s="370">
        <f t="shared" si="3"/>
        <v>0.13098637458720708</v>
      </c>
      <c r="O20" s="363" t="s">
        <v>553</v>
      </c>
      <c r="P20" s="367">
        <v>18738</v>
      </c>
      <c r="Q20" s="369">
        <f t="shared" si="4"/>
        <v>1.5227052763224936E-2</v>
      </c>
      <c r="R20" s="366">
        <v>981.32080078125</v>
      </c>
      <c r="S20" s="367">
        <f t="shared" si="9"/>
        <v>14.94262361114624</v>
      </c>
      <c r="T20" s="368">
        <f t="shared" si="5"/>
        <v>5.188195134858508E-2</v>
      </c>
    </row>
    <row r="21" spans="1:20" s="311" customFormat="1" ht="15.5" x14ac:dyDescent="0.35">
      <c r="A21" s="371" t="s">
        <v>564</v>
      </c>
      <c r="B21" s="311">
        <v>327784</v>
      </c>
      <c r="C21" s="365">
        <f t="shared" si="0"/>
        <v>0.2663669688836014</v>
      </c>
      <c r="D21" s="372">
        <v>217.62297058105</v>
      </c>
      <c r="E21" s="367">
        <f t="shared" si="10"/>
        <v>57.967571033119448</v>
      </c>
      <c r="F21" s="368">
        <f t="shared" si="1"/>
        <v>2.3517752630089147E-2</v>
      </c>
      <c r="H21" s="363" t="s">
        <v>565</v>
      </c>
      <c r="I21" s="367">
        <v>52602</v>
      </c>
      <c r="J21" s="369">
        <f t="shared" si="2"/>
        <v>4.2745940305857516E-2</v>
      </c>
      <c r="K21" s="366">
        <v>1799.355</v>
      </c>
      <c r="L21" s="367">
        <f t="shared" si="8"/>
        <v>76.915121419046258</v>
      </c>
      <c r="M21" s="370">
        <f t="shared" si="3"/>
        <v>7.3700694334418199E-2</v>
      </c>
      <c r="O21" s="363" t="s">
        <v>556</v>
      </c>
      <c r="P21" s="367">
        <v>69277</v>
      </c>
      <c r="Q21" s="369">
        <f t="shared" si="4"/>
        <v>5.6296538279321906E-2</v>
      </c>
      <c r="R21" s="366">
        <v>1754.5170898438</v>
      </c>
      <c r="S21" s="367">
        <f t="shared" si="9"/>
        <v>98.773238510115959</v>
      </c>
      <c r="T21" s="368">
        <f t="shared" si="5"/>
        <v>9.2760461434291411E-2</v>
      </c>
    </row>
    <row r="22" spans="1:20" s="311" customFormat="1" ht="15.5" x14ac:dyDescent="0.35">
      <c r="A22" s="371" t="s">
        <v>538</v>
      </c>
      <c r="B22" s="311">
        <v>400352</v>
      </c>
      <c r="C22" s="365">
        <f t="shared" si="0"/>
        <v>0.32533787105681661</v>
      </c>
      <c r="D22" s="372">
        <v>624.525390625</v>
      </c>
      <c r="E22" s="367">
        <f t="shared" si="10"/>
        <v>203.18176100686426</v>
      </c>
      <c r="F22" s="368">
        <f t="shared" si="1"/>
        <v>6.7490272781008928E-2</v>
      </c>
      <c r="H22" s="363" t="s">
        <v>566</v>
      </c>
      <c r="I22" s="367">
        <v>2675</v>
      </c>
      <c r="J22" s="369">
        <f t="shared" si="2"/>
        <v>2.1737840826996854E-3</v>
      </c>
      <c r="K22" s="366">
        <v>1039.9970000000001</v>
      </c>
      <c r="L22" s="367">
        <f t="shared" si="8"/>
        <v>2.260728924655425</v>
      </c>
      <c r="M22" s="370">
        <f t="shared" si="3"/>
        <v>4.2597764757767047E-2</v>
      </c>
      <c r="O22" s="363" t="s">
        <v>567</v>
      </c>
      <c r="P22" s="367">
        <v>5959</v>
      </c>
      <c r="Q22" s="369">
        <f t="shared" si="4"/>
        <v>4.8424595696476358E-3</v>
      </c>
      <c r="R22" s="366">
        <v>11089.4453125</v>
      </c>
      <c r="S22" s="367">
        <f t="shared" si="9"/>
        <v>53.700190575599741</v>
      </c>
      <c r="T22" s="368">
        <f t="shared" si="5"/>
        <v>0.58629355632518743</v>
      </c>
    </row>
    <row r="23" spans="1:20" s="311" customFormat="1" ht="15.5" x14ac:dyDescent="0.35">
      <c r="A23" s="371" t="s">
        <v>540</v>
      </c>
      <c r="B23" s="311">
        <v>126245</v>
      </c>
      <c r="C23" s="365">
        <f t="shared" si="0"/>
        <v>0.10259041925997076</v>
      </c>
      <c r="D23" s="372">
        <v>1837.6301269531</v>
      </c>
      <c r="E23" s="367">
        <f t="shared" si="10"/>
        <v>188.52324516887182</v>
      </c>
      <c r="F23" s="368">
        <f t="shared" si="1"/>
        <v>0.19858625509932973</v>
      </c>
      <c r="H23" s="363" t="s">
        <v>568</v>
      </c>
      <c r="I23" s="367">
        <v>54619</v>
      </c>
      <c r="J23" s="369">
        <f t="shared" si="2"/>
        <v>4.4385014135691257E-2</v>
      </c>
      <c r="K23" s="366">
        <v>216.32560000000001</v>
      </c>
      <c r="L23" s="367">
        <f t="shared" si="8"/>
        <v>9.6016148139118922</v>
      </c>
      <c r="M23" s="370">
        <f t="shared" si="3"/>
        <v>8.8605900015892459E-3</v>
      </c>
      <c r="O23" s="363" t="s">
        <v>566</v>
      </c>
      <c r="P23" s="367">
        <v>3694</v>
      </c>
      <c r="Q23" s="369">
        <f t="shared" si="4"/>
        <v>3.001853608034631E-3</v>
      </c>
      <c r="R23" s="366">
        <v>3761.1599121094</v>
      </c>
      <c r="S23" s="367">
        <f t="shared" si="9"/>
        <v>11.290451452560818</v>
      </c>
      <c r="T23" s="368">
        <f t="shared" si="5"/>
        <v>0.19885068717483245</v>
      </c>
    </row>
    <row r="24" spans="1:20" s="311" customFormat="1" ht="15.5" x14ac:dyDescent="0.35">
      <c r="A24" s="371" t="s">
        <v>542</v>
      </c>
      <c r="B24" s="311">
        <v>87018</v>
      </c>
      <c r="C24" s="365">
        <f t="shared" si="0"/>
        <v>7.0713399367611673E-2</v>
      </c>
      <c r="D24" s="372">
        <v>1661.4407958984</v>
      </c>
      <c r="E24" s="367">
        <f t="shared" si="10"/>
        <v>117.48612652600615</v>
      </c>
      <c r="F24" s="368">
        <f t="shared" si="1"/>
        <v>0.17954609085222828</v>
      </c>
      <c r="H24" s="363" t="s">
        <v>510</v>
      </c>
      <c r="I24" s="367">
        <v>185933</v>
      </c>
      <c r="J24" s="369">
        <f t="shared" si="2"/>
        <v>0.15109465265368247</v>
      </c>
      <c r="K24" s="366">
        <v>699.66579999999999</v>
      </c>
      <c r="L24" s="367">
        <f t="shared" si="8"/>
        <v>105.71576102466086</v>
      </c>
      <c r="M24" s="370">
        <f t="shared" si="3"/>
        <v>2.8657966472456057E-2</v>
      </c>
      <c r="O24" s="363" t="s">
        <v>510</v>
      </c>
      <c r="P24" s="367">
        <v>778439</v>
      </c>
      <c r="Q24" s="369">
        <f t="shared" si="4"/>
        <v>0.63258254487949928</v>
      </c>
      <c r="R24" s="366">
        <v>296.75531005859</v>
      </c>
      <c r="S24" s="367">
        <f t="shared" si="9"/>
        <v>187.72222924336774</v>
      </c>
      <c r="T24" s="368">
        <f t="shared" si="5"/>
        <v>1.5689308273743686E-2</v>
      </c>
    </row>
    <row r="25" spans="1:20" s="311" customFormat="1" ht="15.5" x14ac:dyDescent="0.35">
      <c r="A25" s="371" t="s">
        <v>569</v>
      </c>
      <c r="B25" s="311">
        <v>5476</v>
      </c>
      <c r="C25" s="365">
        <f t="shared" si="0"/>
        <v>4.4499594904162535E-3</v>
      </c>
      <c r="D25" s="372">
        <v>6342.3930664063</v>
      </c>
      <c r="E25" s="367">
        <f t="shared" si="10"/>
        <v>28.223392217804957</v>
      </c>
      <c r="F25" s="368">
        <f t="shared" si="1"/>
        <v>0.68540021680746355</v>
      </c>
      <c r="H25" s="363" t="s">
        <v>570</v>
      </c>
      <c r="I25" s="367">
        <v>12081</v>
      </c>
      <c r="J25" s="369">
        <f t="shared" si="2"/>
        <v>9.8173777581663183E-3</v>
      </c>
      <c r="K25" s="366">
        <v>4363.0039999999999</v>
      </c>
      <c r="L25" s="367">
        <f t="shared" si="8"/>
        <v>42.833258428390678</v>
      </c>
      <c r="M25" s="370">
        <f t="shared" si="3"/>
        <v>0.17870649437373054</v>
      </c>
      <c r="O25" s="363" t="s">
        <v>571</v>
      </c>
      <c r="P25" s="367">
        <v>73809</v>
      </c>
      <c r="Q25" s="369">
        <f t="shared" si="4"/>
        <v>5.9979375461675172E-2</v>
      </c>
      <c r="R25" s="366">
        <v>720.53863525391</v>
      </c>
      <c r="S25" s="367">
        <f t="shared" si="9"/>
        <v>43.217457338537287</v>
      </c>
      <c r="T25" s="368">
        <f t="shared" si="5"/>
        <v>3.8094525652832285E-2</v>
      </c>
    </row>
    <row r="26" spans="1:20" s="311" customFormat="1" ht="15.5" x14ac:dyDescent="0.35">
      <c r="A26" s="371" t="s">
        <v>572</v>
      </c>
      <c r="B26" s="311">
        <v>32010</v>
      </c>
      <c r="C26" s="365">
        <f t="shared" si="0"/>
        <v>2.6012272331669882E-2</v>
      </c>
      <c r="D26" s="372">
        <v>452.54202270508</v>
      </c>
      <c r="E26" s="367">
        <f t="shared" si="10"/>
        <v>11.771646336129276</v>
      </c>
      <c r="F26" s="368">
        <f t="shared" si="1"/>
        <v>4.890463224668895E-2</v>
      </c>
      <c r="H26" s="363" t="s">
        <v>571</v>
      </c>
      <c r="I26" s="367">
        <v>36573</v>
      </c>
      <c r="J26" s="369">
        <f t="shared" si="2"/>
        <v>2.9720301030495548E-2</v>
      </c>
      <c r="K26" s="366">
        <v>334.24090000000001</v>
      </c>
      <c r="L26" s="367">
        <f t="shared" si="8"/>
        <v>9.9337401647037602</v>
      </c>
      <c r="M26" s="370">
        <f t="shared" si="3"/>
        <v>1.3690342597742435E-2</v>
      </c>
      <c r="O26" s="363" t="s">
        <v>573</v>
      </c>
      <c r="P26" s="367">
        <v>85697</v>
      </c>
      <c r="Q26" s="369">
        <f t="shared" si="4"/>
        <v>6.9639915714061668E-2</v>
      </c>
      <c r="R26" s="366">
        <v>3347.1333007813</v>
      </c>
      <c r="S26" s="367">
        <f t="shared" si="9"/>
        <v>233.09408095013876</v>
      </c>
      <c r="T26" s="368">
        <f t="shared" si="5"/>
        <v>0.17696130249161476</v>
      </c>
    </row>
    <row r="27" spans="1:20" s="311" customFormat="1" ht="15.5" x14ac:dyDescent="0.35">
      <c r="A27" s="371" t="s">
        <v>544</v>
      </c>
      <c r="B27" s="311">
        <v>114287</v>
      </c>
      <c r="C27" s="365">
        <f t="shared" si="0"/>
        <v>9.2872994938130449E-2</v>
      </c>
      <c r="D27" s="372">
        <v>2687.2504882813</v>
      </c>
      <c r="E27" s="367">
        <f t="shared" si="10"/>
        <v>249.57300099563776</v>
      </c>
      <c r="F27" s="368">
        <f t="shared" si="1"/>
        <v>0.29040175340750085</v>
      </c>
      <c r="H27" s="373" t="s">
        <v>574</v>
      </c>
      <c r="I27" s="374">
        <v>10</v>
      </c>
      <c r="J27" s="369">
        <f t="shared" si="2"/>
        <v>8.1262956362605061E-6</v>
      </c>
      <c r="K27" s="375">
        <v>-2190.3069999999998</v>
      </c>
      <c r="L27" s="367">
        <f t="shared" si="8"/>
        <v>-1.7799082216170839E-2</v>
      </c>
      <c r="M27" s="370">
        <f t="shared" si="3"/>
        <v>-8.9713895649016731E-2</v>
      </c>
      <c r="O27" s="373" t="s">
        <v>575</v>
      </c>
      <c r="P27" s="374">
        <v>108425</v>
      </c>
      <c r="Q27" s="369">
        <f t="shared" si="4"/>
        <v>8.8109360436154541E-2</v>
      </c>
      <c r="R27" s="375">
        <v>1422.5456542969</v>
      </c>
      <c r="S27" s="367">
        <f t="shared" si="9"/>
        <v>125.33958779133086</v>
      </c>
      <c r="T27" s="368">
        <f t="shared" si="5"/>
        <v>7.5209293809542846E-2</v>
      </c>
    </row>
    <row r="28" spans="1:20" s="311" customFormat="1" ht="15.5" x14ac:dyDescent="0.35">
      <c r="A28" s="371" t="s">
        <v>546</v>
      </c>
      <c r="B28" s="311">
        <v>309351</v>
      </c>
      <c r="C28" s="365">
        <f t="shared" si="0"/>
        <v>0.25138776813728236</v>
      </c>
      <c r="D28" s="372">
        <v>1042.0437011719</v>
      </c>
      <c r="E28" s="367">
        <f t="shared" si="10"/>
        <v>261.95704033911716</v>
      </c>
      <c r="F28" s="368">
        <f t="shared" si="1"/>
        <v>0.11261001505710189</v>
      </c>
      <c r="H28" s="363" t="s">
        <v>576</v>
      </c>
      <c r="I28" s="367">
        <v>15065</v>
      </c>
      <c r="J28" s="369">
        <f t="shared" si="2"/>
        <v>1.2242264376026452E-2</v>
      </c>
      <c r="K28" s="366">
        <v>1334.492</v>
      </c>
      <c r="L28" s="367">
        <f t="shared" si="8"/>
        <v>16.337203871692292</v>
      </c>
      <c r="M28" s="370">
        <f t="shared" si="3"/>
        <v>5.46601348726218E-2</v>
      </c>
      <c r="O28" s="363" t="s">
        <v>577</v>
      </c>
      <c r="P28" s="367">
        <v>2629420</v>
      </c>
      <c r="Q28" s="369">
        <f t="shared" si="4"/>
        <v>2.1367444271896101</v>
      </c>
      <c r="R28" s="366">
        <v>165.04840087891</v>
      </c>
      <c r="S28" s="367">
        <f t="shared" si="9"/>
        <v>352.6662507945677</v>
      </c>
      <c r="T28" s="368">
        <f t="shared" si="5"/>
        <v>8.7260283260521595E-3</v>
      </c>
    </row>
    <row r="29" spans="1:20" s="311" customFormat="1" ht="15.5" x14ac:dyDescent="0.35">
      <c r="A29" s="371" t="s">
        <v>578</v>
      </c>
      <c r="B29" s="311">
        <v>7364</v>
      </c>
      <c r="C29" s="365">
        <f t="shared" si="0"/>
        <v>5.9842041065422368E-3</v>
      </c>
      <c r="D29" s="372">
        <v>4594.0327148438</v>
      </c>
      <c r="E29" s="367">
        <f t="shared" si="10"/>
        <v>27.491629437757648</v>
      </c>
      <c r="F29" s="368">
        <f t="shared" si="1"/>
        <v>0.49646103384107237</v>
      </c>
      <c r="H29" s="363" t="s">
        <v>579</v>
      </c>
      <c r="I29" s="367">
        <v>471735</v>
      </c>
      <c r="J29" s="369">
        <f t="shared" si="2"/>
        <v>0.38334580719713501</v>
      </c>
      <c r="K29" s="366">
        <v>1658.587</v>
      </c>
      <c r="L29" s="367">
        <f t="shared" si="8"/>
        <v>635.81237232167462</v>
      </c>
      <c r="M29" s="370">
        <f t="shared" si="3"/>
        <v>6.79349064048171E-2</v>
      </c>
      <c r="O29" s="363" t="s">
        <v>580</v>
      </c>
      <c r="P29" s="367">
        <v>2095551</v>
      </c>
      <c r="Q29" s="369">
        <f t="shared" si="4"/>
        <v>1.702906694686134</v>
      </c>
      <c r="R29" s="366">
        <v>163.39065551758</v>
      </c>
      <c r="S29" s="367">
        <f t="shared" si="9"/>
        <v>278.23904113004289</v>
      </c>
      <c r="T29" s="368">
        <f t="shared" si="5"/>
        <v>8.6383841386300717E-3</v>
      </c>
    </row>
    <row r="30" spans="1:20" s="311" customFormat="1" ht="15.5" x14ac:dyDescent="0.35">
      <c r="A30" s="371" t="s">
        <v>581</v>
      </c>
      <c r="B30" s="311">
        <v>60876</v>
      </c>
      <c r="C30" s="365">
        <f t="shared" si="0"/>
        <v>4.9469637315299457E-2</v>
      </c>
      <c r="D30" s="372">
        <v>420.46951293945</v>
      </c>
      <c r="E30" s="367">
        <f t="shared" si="10"/>
        <v>20.800474307255204</v>
      </c>
      <c r="F30" s="368">
        <f t="shared" si="1"/>
        <v>4.5438668387817308E-2</v>
      </c>
      <c r="O30" s="371" t="s">
        <v>582</v>
      </c>
      <c r="P30" s="367">
        <v>10</v>
      </c>
      <c r="Q30" s="369">
        <f t="shared" si="4"/>
        <v>8.1262956362605061E-6</v>
      </c>
      <c r="R30" s="330">
        <v>-368.84075927734</v>
      </c>
      <c r="S30" s="367">
        <f t="shared" si="9"/>
        <v>-2.9973090525904598E-3</v>
      </c>
      <c r="T30" s="368">
        <f t="shared" si="5"/>
        <v>-1.9500430759204761E-2</v>
      </c>
    </row>
    <row r="31" spans="1:20" s="311" customFormat="1" ht="15.5" x14ac:dyDescent="0.35">
      <c r="A31" s="371" t="s">
        <v>583</v>
      </c>
      <c r="B31" s="311">
        <v>31493</v>
      </c>
      <c r="C31" s="365">
        <f t="shared" si="0"/>
        <v>2.5592142847275214E-2</v>
      </c>
      <c r="D31" s="372">
        <v>323.31887817383</v>
      </c>
      <c r="E31" s="367">
        <f t="shared" si="10"/>
        <v>8.2744229154454292</v>
      </c>
      <c r="F31" s="368">
        <f t="shared" si="1"/>
        <v>3.4939939369581306E-2</v>
      </c>
      <c r="H31" s="363" t="s">
        <v>584</v>
      </c>
      <c r="I31" s="364">
        <v>1230573</v>
      </c>
      <c r="K31" s="376" t="s">
        <v>383</v>
      </c>
      <c r="L31" s="367">
        <f>SUM(L5:L29)</f>
        <v>24414.356150233743</v>
      </c>
      <c r="O31" s="363" t="s">
        <v>576</v>
      </c>
      <c r="P31" s="328">
        <v>264289</v>
      </c>
      <c r="Q31" s="369">
        <f t="shared" si="4"/>
        <v>0.21476905474116528</v>
      </c>
      <c r="R31" s="330">
        <v>693.35797119141</v>
      </c>
      <c r="S31" s="367">
        <f t="shared" si="9"/>
        <v>148.91183607003123</v>
      </c>
      <c r="T31" s="368">
        <f t="shared" si="5"/>
        <v>3.6657497221976462E-2</v>
      </c>
    </row>
    <row r="32" spans="1:20" s="311" customFormat="1" ht="15.5" x14ac:dyDescent="0.35">
      <c r="A32" s="363" t="s">
        <v>585</v>
      </c>
      <c r="B32" s="367">
        <v>12256</v>
      </c>
      <c r="C32" s="365">
        <f t="shared" si="0"/>
        <v>9.9595879318008767E-3</v>
      </c>
      <c r="D32" s="377">
        <v>317.17617797852</v>
      </c>
      <c r="E32" s="367">
        <f t="shared" si="10"/>
        <v>3.1589440344495947</v>
      </c>
      <c r="F32" s="368">
        <f t="shared" si="1"/>
        <v>3.427611926231787E-2</v>
      </c>
      <c r="H32" s="363" t="s">
        <v>586</v>
      </c>
      <c r="I32" s="378">
        <v>0.48299999999999998</v>
      </c>
      <c r="J32" s="328"/>
      <c r="M32" s="356"/>
    </row>
    <row r="33" spans="1:20" s="311" customFormat="1" ht="15.5" x14ac:dyDescent="0.35">
      <c r="A33" s="363" t="s">
        <v>554</v>
      </c>
      <c r="B33" s="367">
        <v>12706</v>
      </c>
      <c r="C33" s="365">
        <f t="shared" si="0"/>
        <v>1.0325271235432599E-2</v>
      </c>
      <c r="D33" s="377">
        <v>975.39520263672</v>
      </c>
      <c r="E33" s="367">
        <f t="shared" si="10"/>
        <v>10.071220028963877</v>
      </c>
      <c r="F33" s="368">
        <f t="shared" si="1"/>
        <v>0.10540754512696433</v>
      </c>
      <c r="H33" s="363" t="s">
        <v>587</v>
      </c>
      <c r="I33" s="374">
        <v>3220572160</v>
      </c>
      <c r="J33" s="364"/>
      <c r="O33" s="363" t="s">
        <v>584</v>
      </c>
      <c r="P33" s="364">
        <v>1230573</v>
      </c>
      <c r="R33" s="376" t="s">
        <v>383</v>
      </c>
      <c r="S33" s="367">
        <f>SUM(S5:S31)</f>
        <v>18914.492906944459</v>
      </c>
    </row>
    <row r="34" spans="1:20" s="311" customFormat="1" ht="15.5" x14ac:dyDescent="0.35">
      <c r="A34" s="363" t="s">
        <v>557</v>
      </c>
      <c r="B34" s="367">
        <v>33300</v>
      </c>
      <c r="C34" s="365">
        <f t="shared" si="0"/>
        <v>2.7060564468747487E-2</v>
      </c>
      <c r="D34" s="377">
        <v>2371.4887695313</v>
      </c>
      <c r="E34" s="367">
        <f t="shared" si="10"/>
        <v>64.173824734812399</v>
      </c>
      <c r="F34" s="368">
        <f t="shared" si="1"/>
        <v>0.25627848980262052</v>
      </c>
      <c r="H34" s="363" t="s">
        <v>588</v>
      </c>
      <c r="I34" s="286">
        <v>5473001</v>
      </c>
      <c r="J34" s="378"/>
      <c r="K34" s="379"/>
      <c r="L34" s="374"/>
      <c r="M34" s="379"/>
      <c r="O34" s="363" t="s">
        <v>586</v>
      </c>
      <c r="P34" s="378">
        <v>0.48299999999999998</v>
      </c>
      <c r="T34" s="380"/>
    </row>
    <row r="35" spans="1:20" s="311" customFormat="1" ht="15.5" x14ac:dyDescent="0.35">
      <c r="A35" s="363" t="s">
        <v>548</v>
      </c>
      <c r="B35" s="367">
        <v>20304</v>
      </c>
      <c r="C35" s="365">
        <f t="shared" si="0"/>
        <v>1.6499630659863332E-2</v>
      </c>
      <c r="D35" s="377">
        <v>348.35766601563</v>
      </c>
      <c r="E35" s="367">
        <f t="shared" si="10"/>
        <v>5.7477728267899195</v>
      </c>
      <c r="F35" s="368">
        <f t="shared" si="1"/>
        <v>3.7645793522056568E-2</v>
      </c>
      <c r="H35" s="373" t="s">
        <v>589</v>
      </c>
      <c r="I35" s="381">
        <f>I33/I34</f>
        <v>588.44720839627109</v>
      </c>
      <c r="K35" s="379"/>
      <c r="L35" s="374"/>
      <c r="M35" s="379"/>
      <c r="O35" s="363" t="s">
        <v>587</v>
      </c>
      <c r="P35" s="374">
        <f>P36*P37</f>
        <v>3010265461.6423635</v>
      </c>
      <c r="Q35" s="364"/>
    </row>
    <row r="36" spans="1:20" s="311" customFormat="1" ht="15.5" x14ac:dyDescent="0.35">
      <c r="A36" s="363" t="s">
        <v>550</v>
      </c>
      <c r="B36" s="367">
        <v>3280</v>
      </c>
      <c r="C36" s="365">
        <f t="shared" si="0"/>
        <v>2.6654249686934462E-3</v>
      </c>
      <c r="D36" s="377">
        <v>3183.1135253906</v>
      </c>
      <c r="E36" s="367">
        <f t="shared" si="10"/>
        <v>8.4843502687619257</v>
      </c>
      <c r="F36" s="368">
        <f t="shared" si="1"/>
        <v>0.3439879360333743</v>
      </c>
      <c r="J36" s="374"/>
      <c r="K36" s="332"/>
      <c r="L36" s="332"/>
      <c r="M36" s="332"/>
      <c r="O36" s="363" t="s">
        <v>588</v>
      </c>
      <c r="P36" s="328">
        <v>5473001</v>
      </c>
      <c r="Q36" s="378"/>
      <c r="S36" s="379"/>
      <c r="T36" s="382"/>
    </row>
    <row r="37" spans="1:20" s="311" customFormat="1" ht="15.5" x14ac:dyDescent="0.35">
      <c r="A37" s="363" t="s">
        <v>553</v>
      </c>
      <c r="B37" s="367">
        <v>18738</v>
      </c>
      <c r="C37" s="365">
        <f t="shared" ref="C37:C68" si="11">B37/$B$98</f>
        <v>1.5227052763224936E-2</v>
      </c>
      <c r="D37" s="377">
        <v>2068.669921875</v>
      </c>
      <c r="E37" s="367">
        <f t="shared" si="10"/>
        <v>31.49974605008703</v>
      </c>
      <c r="F37" s="368">
        <f t="shared" ref="F37:F68" si="12">D37/$E$98</f>
        <v>0.22355391696963831</v>
      </c>
      <c r="J37" s="286"/>
      <c r="K37" s="332"/>
      <c r="L37" s="374"/>
      <c r="M37" s="374"/>
      <c r="O37" s="373" t="s">
        <v>589</v>
      </c>
      <c r="P37" s="367">
        <v>550.02099609380002</v>
      </c>
      <c r="S37" s="379"/>
      <c r="T37" s="382"/>
    </row>
    <row r="38" spans="1:20" s="311" customFormat="1" ht="15.5" x14ac:dyDescent="0.35">
      <c r="A38" s="363" t="s">
        <v>556</v>
      </c>
      <c r="B38" s="367">
        <v>69277</v>
      </c>
      <c r="C38" s="365">
        <f t="shared" si="11"/>
        <v>5.6296538279321906E-2</v>
      </c>
      <c r="D38" s="377">
        <v>772.27484130859</v>
      </c>
      <c r="E38" s="367">
        <f t="shared" si="10"/>
        <v>43.47640016588629</v>
      </c>
      <c r="F38" s="368">
        <f t="shared" si="12"/>
        <v>8.3457038711695089E-2</v>
      </c>
      <c r="J38" s="381"/>
      <c r="K38" s="332"/>
      <c r="L38" s="332"/>
      <c r="M38" s="332"/>
      <c r="Q38" s="374"/>
      <c r="S38" s="332"/>
      <c r="T38" s="332"/>
    </row>
    <row r="39" spans="1:20" s="311" customFormat="1" ht="15.5" x14ac:dyDescent="0.35">
      <c r="A39" s="363" t="s">
        <v>590</v>
      </c>
      <c r="B39" s="367">
        <v>90981</v>
      </c>
      <c r="C39" s="365">
        <f t="shared" si="11"/>
        <v>7.3933850328261719E-2</v>
      </c>
      <c r="D39" s="377">
        <v>548.78582763672</v>
      </c>
      <c r="E39" s="367">
        <f t="shared" si="10"/>
        <v>40.573849242764489</v>
      </c>
      <c r="F39" s="368">
        <f t="shared" si="12"/>
        <v>5.9305363339172058E-2</v>
      </c>
      <c r="K39" s="332"/>
      <c r="L39" s="332"/>
      <c r="M39" s="332"/>
      <c r="Q39" s="328"/>
      <c r="S39" s="374"/>
      <c r="T39" s="332"/>
    </row>
    <row r="40" spans="1:20" s="311" customFormat="1" ht="15.5" x14ac:dyDescent="0.35">
      <c r="A40" s="363" t="s">
        <v>591</v>
      </c>
      <c r="B40" s="367">
        <v>1008225</v>
      </c>
      <c r="C40" s="365">
        <f t="shared" si="11"/>
        <v>0.81931344178687493</v>
      </c>
      <c r="D40" s="377">
        <v>169.41040039063</v>
      </c>
      <c r="E40" s="367">
        <f t="shared" si="10"/>
        <v>138.80021821853961</v>
      </c>
      <c r="F40" s="368">
        <f t="shared" si="12"/>
        <v>1.830758894023719E-2</v>
      </c>
      <c r="Q40" s="367"/>
      <c r="S40" s="374"/>
      <c r="T40" s="332"/>
    </row>
    <row r="41" spans="1:20" s="311" customFormat="1" ht="15.5" x14ac:dyDescent="0.35">
      <c r="A41" s="363" t="s">
        <v>592</v>
      </c>
      <c r="B41" s="367">
        <v>45066</v>
      </c>
      <c r="C41" s="365">
        <f t="shared" si="11"/>
        <v>3.66219639143716E-2</v>
      </c>
      <c r="D41" s="377">
        <v>1004.0688476563</v>
      </c>
      <c r="E41" s="367">
        <f t="shared" si="10"/>
        <v>36.770973106413692</v>
      </c>
      <c r="F41" s="368">
        <f t="shared" si="12"/>
        <v>0.10850620557063438</v>
      </c>
      <c r="S41" s="332"/>
      <c r="T41" s="332"/>
    </row>
    <row r="42" spans="1:20" s="311" customFormat="1" ht="15.5" x14ac:dyDescent="0.35">
      <c r="A42" s="363" t="s">
        <v>593</v>
      </c>
      <c r="B42" s="367">
        <v>108616</v>
      </c>
      <c r="C42" s="365">
        <f t="shared" si="11"/>
        <v>8.8264572682807116E-2</v>
      </c>
      <c r="D42" s="377">
        <v>427.19625854492</v>
      </c>
      <c r="E42" s="367">
        <f t="shared" si="10"/>
        <v>37.706295212161351</v>
      </c>
      <c r="F42" s="368">
        <f t="shared" si="12"/>
        <v>4.6165604238075197E-2</v>
      </c>
    </row>
    <row r="43" spans="1:20" s="311" customFormat="1" ht="15.5" x14ac:dyDescent="0.35">
      <c r="A43" s="363" t="s">
        <v>594</v>
      </c>
      <c r="B43" s="367">
        <v>692292</v>
      </c>
      <c r="C43" s="365">
        <f t="shared" si="11"/>
        <v>0.56257694586180584</v>
      </c>
      <c r="D43" s="377">
        <v>359.58755493164</v>
      </c>
      <c r="E43" s="367">
        <f t="shared" si="10"/>
        <v>202.29566842335637</v>
      </c>
      <c r="F43" s="368">
        <f t="shared" si="12"/>
        <v>3.8859368306395539E-2</v>
      </c>
    </row>
    <row r="44" spans="1:20" s="311" customFormat="1" ht="15.5" x14ac:dyDescent="0.35">
      <c r="A44" s="363" t="s">
        <v>595</v>
      </c>
      <c r="B44" s="367">
        <v>218732</v>
      </c>
      <c r="C44" s="365">
        <f t="shared" si="11"/>
        <v>0.1777480897110533</v>
      </c>
      <c r="D44" s="377">
        <v>644.45471191406</v>
      </c>
      <c r="E44" s="367">
        <f t="shared" si="10"/>
        <v>114.55059394801134</v>
      </c>
      <c r="F44" s="368">
        <f t="shared" si="12"/>
        <v>6.9643964769084826E-2</v>
      </c>
    </row>
    <row r="45" spans="1:20" s="311" customFormat="1" ht="15.5" x14ac:dyDescent="0.35">
      <c r="A45" s="363" t="s">
        <v>596</v>
      </c>
      <c r="B45" s="367">
        <v>172242</v>
      </c>
      <c r="C45" s="365">
        <f t="shared" si="11"/>
        <v>0.13996894129807821</v>
      </c>
      <c r="D45" s="377">
        <v>1186.8215332031</v>
      </c>
      <c r="E45" s="367">
        <f t="shared" si="10"/>
        <v>166.11815351219988</v>
      </c>
      <c r="F45" s="368">
        <f t="shared" si="12"/>
        <v>0.12825564856233096</v>
      </c>
    </row>
    <row r="46" spans="1:20" s="311" customFormat="1" ht="15.5" x14ac:dyDescent="0.35">
      <c r="A46" s="373" t="s">
        <v>559</v>
      </c>
      <c r="B46" s="374">
        <v>75764</v>
      </c>
      <c r="C46" s="365">
        <f t="shared" si="11"/>
        <v>6.1568066258564098E-2</v>
      </c>
      <c r="D46" s="383">
        <v>1936.5413818359</v>
      </c>
      <c r="E46" s="367">
        <f t="shared" si="10"/>
        <v>119.22910810932397</v>
      </c>
      <c r="F46" s="368">
        <f t="shared" si="12"/>
        <v>0.20927524817048646</v>
      </c>
    </row>
    <row r="47" spans="1:20" s="311" customFormat="1" ht="15.5" x14ac:dyDescent="0.35">
      <c r="A47" s="363" t="s">
        <v>561</v>
      </c>
      <c r="B47" s="367">
        <v>52960</v>
      </c>
      <c r="C47" s="365">
        <f t="shared" si="11"/>
        <v>4.3036861689635643E-2</v>
      </c>
      <c r="D47" s="377">
        <v>1266.4450683594</v>
      </c>
      <c r="E47" s="367">
        <f t="shared" si="10"/>
        <v>54.503821244504657</v>
      </c>
      <c r="F47" s="368">
        <f t="shared" si="12"/>
        <v>0.13686028528031779</v>
      </c>
    </row>
    <row r="48" spans="1:20" s="311" customFormat="1" ht="15.5" x14ac:dyDescent="0.35">
      <c r="A48" s="363" t="s">
        <v>597</v>
      </c>
      <c r="B48" s="367">
        <v>28635</v>
      </c>
      <c r="C48" s="365">
        <f t="shared" si="11"/>
        <v>2.326964755443196E-2</v>
      </c>
      <c r="D48" s="377">
        <v>3264.8146972656</v>
      </c>
      <c r="E48" s="367">
        <f t="shared" ref="E48:E79" si="13">D48*C48</f>
        <v>75.971087335899981</v>
      </c>
      <c r="F48" s="368">
        <f t="shared" si="12"/>
        <v>0.35281709567867492</v>
      </c>
    </row>
    <row r="49" spans="1:6" s="311" customFormat="1" ht="15.5" x14ac:dyDescent="0.35">
      <c r="A49" s="371" t="s">
        <v>563</v>
      </c>
      <c r="B49" s="367">
        <v>13240</v>
      </c>
      <c r="C49" s="365">
        <f t="shared" si="11"/>
        <v>1.0759215422408911E-2</v>
      </c>
      <c r="D49" s="372">
        <v>4521.4750976563</v>
      </c>
      <c r="E49" s="367">
        <f t="shared" si="13"/>
        <v>48.647524602741498</v>
      </c>
      <c r="F49" s="368">
        <f t="shared" si="12"/>
        <v>0.48861998614335789</v>
      </c>
    </row>
    <row r="50" spans="1:6" s="311" customFormat="1" ht="15.5" x14ac:dyDescent="0.35">
      <c r="A50" s="363" t="s">
        <v>565</v>
      </c>
      <c r="B50" s="328">
        <v>105483</v>
      </c>
      <c r="C50" s="365">
        <f t="shared" si="11"/>
        <v>8.5718604259966705E-2</v>
      </c>
      <c r="D50" s="372">
        <v>1480.6723632813</v>
      </c>
      <c r="E50" s="367">
        <f t="shared" si="13"/>
        <v>126.92116834677941</v>
      </c>
      <c r="F50" s="368">
        <f t="shared" si="12"/>
        <v>0.16001107912866308</v>
      </c>
    </row>
    <row r="51" spans="1:6" s="311" customFormat="1" ht="15.5" x14ac:dyDescent="0.35">
      <c r="A51" s="371" t="s">
        <v>598</v>
      </c>
      <c r="B51" s="311">
        <v>345056</v>
      </c>
      <c r="C51" s="365">
        <f t="shared" si="11"/>
        <v>0.28040270670655054</v>
      </c>
      <c r="D51" s="372">
        <v>527.38848876953</v>
      </c>
      <c r="E51" s="367">
        <f t="shared" si="13"/>
        <v>147.88115973685345</v>
      </c>
      <c r="F51" s="368">
        <f t="shared" si="12"/>
        <v>5.6993027830300066E-2</v>
      </c>
    </row>
    <row r="52" spans="1:6" s="311" customFormat="1" ht="15.5" x14ac:dyDescent="0.35">
      <c r="A52" s="371" t="s">
        <v>566</v>
      </c>
      <c r="B52" s="311">
        <v>3694</v>
      </c>
      <c r="C52" s="365">
        <f t="shared" si="11"/>
        <v>3.001853608034631E-3</v>
      </c>
      <c r="D52" s="372">
        <v>4962.0356445313</v>
      </c>
      <c r="E52" s="367">
        <f t="shared" si="13"/>
        <v>14.895304602732729</v>
      </c>
      <c r="F52" s="368">
        <f t="shared" si="12"/>
        <v>0.53622982223887372</v>
      </c>
    </row>
    <row r="53" spans="1:6" s="311" customFormat="1" ht="15.5" x14ac:dyDescent="0.35">
      <c r="A53" s="363" t="s">
        <v>599</v>
      </c>
      <c r="B53" s="311">
        <v>877435</v>
      </c>
      <c r="C53" s="365">
        <f t="shared" si="11"/>
        <v>0.71302962116022373</v>
      </c>
      <c r="D53" s="372">
        <v>682.61358642578</v>
      </c>
      <c r="E53" s="367">
        <f t="shared" si="13"/>
        <v>486.72370692799552</v>
      </c>
      <c r="F53" s="368">
        <f t="shared" si="12"/>
        <v>7.3767660760427886E-2</v>
      </c>
    </row>
    <row r="54" spans="1:6" s="311" customFormat="1" ht="15.5" x14ac:dyDescent="0.35">
      <c r="A54" s="363" t="s">
        <v>600</v>
      </c>
      <c r="B54" s="311">
        <v>63493</v>
      </c>
      <c r="C54" s="365">
        <f t="shared" si="11"/>
        <v>5.1596288883308833E-2</v>
      </c>
      <c r="D54" s="372">
        <v>1134.0631103516</v>
      </c>
      <c r="E54" s="367">
        <f t="shared" si="13"/>
        <v>58.513447853604902</v>
      </c>
      <c r="F54" s="368">
        <f t="shared" si="12"/>
        <v>0.1225542304883914</v>
      </c>
    </row>
    <row r="55" spans="1:6" s="311" customFormat="1" ht="15.5" x14ac:dyDescent="0.35">
      <c r="A55" s="371" t="s">
        <v>601</v>
      </c>
      <c r="B55" s="311">
        <v>43433</v>
      </c>
      <c r="C55" s="365">
        <f t="shared" si="11"/>
        <v>3.5294939836970254E-2</v>
      </c>
      <c r="D55" s="372">
        <v>441.27377319336</v>
      </c>
      <c r="E55" s="367">
        <f t="shared" si="13"/>
        <v>15.574731276492498</v>
      </c>
      <c r="F55" s="368">
        <f t="shared" si="12"/>
        <v>4.7686911967054872E-2</v>
      </c>
    </row>
    <row r="56" spans="1:6" s="311" customFormat="1" ht="15.5" x14ac:dyDescent="0.35">
      <c r="A56" s="363" t="s">
        <v>602</v>
      </c>
      <c r="B56" s="311">
        <v>14547</v>
      </c>
      <c r="C56" s="365">
        <f t="shared" si="11"/>
        <v>1.1821322262068159E-2</v>
      </c>
      <c r="D56" s="372">
        <v>592.33367919922</v>
      </c>
      <c r="E56" s="367">
        <f t="shared" si="13"/>
        <v>7.0021673084904785</v>
      </c>
      <c r="F56" s="368">
        <f t="shared" si="12"/>
        <v>6.4011427215996536E-2</v>
      </c>
    </row>
    <row r="57" spans="1:6" s="311" customFormat="1" ht="15.5" x14ac:dyDescent="0.35">
      <c r="A57" s="363" t="s">
        <v>568</v>
      </c>
      <c r="B57" s="311">
        <v>116909</v>
      </c>
      <c r="C57" s="365">
        <f t="shared" si="11"/>
        <v>9.5003709653957949E-2</v>
      </c>
      <c r="D57" s="372">
        <v>956.41870117188</v>
      </c>
      <c r="E57" s="367">
        <f t="shared" si="13"/>
        <v>90.863324593748857</v>
      </c>
      <c r="F57" s="368">
        <f t="shared" si="12"/>
        <v>0.10335682104189621</v>
      </c>
    </row>
    <row r="58" spans="1:6" s="311" customFormat="1" ht="15.5" x14ac:dyDescent="0.35">
      <c r="A58" s="373" t="s">
        <v>603</v>
      </c>
      <c r="B58" s="367">
        <v>245360</v>
      </c>
      <c r="C58" s="365">
        <f t="shared" si="11"/>
        <v>0.19938678973128779</v>
      </c>
      <c r="D58" s="372">
        <v>818.58355712891</v>
      </c>
      <c r="E58" s="367">
        <f t="shared" si="13"/>
        <v>163.21474758275158</v>
      </c>
      <c r="F58" s="368">
        <f t="shared" si="12"/>
        <v>8.8461459524312266E-2</v>
      </c>
    </row>
    <row r="59" spans="1:6" s="311" customFormat="1" ht="15.5" x14ac:dyDescent="0.35">
      <c r="A59" s="371" t="s">
        <v>604</v>
      </c>
      <c r="B59" s="311">
        <v>208507</v>
      </c>
      <c r="C59" s="365">
        <f t="shared" si="11"/>
        <v>0.16943895242297694</v>
      </c>
      <c r="D59" s="372">
        <v>348.78674316406</v>
      </c>
      <c r="E59" s="367">
        <f t="shared" si="13"/>
        <v>59.098060380740236</v>
      </c>
      <c r="F59" s="368">
        <f t="shared" si="12"/>
        <v>3.7692162387480369E-2</v>
      </c>
    </row>
    <row r="60" spans="1:6" s="311" customFormat="1" ht="15.5" x14ac:dyDescent="0.35">
      <c r="A60" s="371" t="s">
        <v>605</v>
      </c>
      <c r="B60" s="311">
        <v>456612</v>
      </c>
      <c r="C60" s="365">
        <f t="shared" si="11"/>
        <v>0.37105641030641823</v>
      </c>
      <c r="D60" s="372">
        <v>605.38348388672</v>
      </c>
      <c r="E60" s="367">
        <f t="shared" si="13"/>
        <v>224.6314223897997</v>
      </c>
      <c r="F60" s="368">
        <f t="shared" si="12"/>
        <v>6.5421673927049964E-2</v>
      </c>
    </row>
    <row r="61" spans="1:6" s="311" customFormat="1" ht="15.5" x14ac:dyDescent="0.35">
      <c r="A61" s="371" t="s">
        <v>606</v>
      </c>
      <c r="B61" s="311">
        <v>27124</v>
      </c>
      <c r="C61" s="365">
        <f t="shared" si="11"/>
        <v>2.2041764283792998E-2</v>
      </c>
      <c r="D61" s="372">
        <v>5930.0024414063</v>
      </c>
      <c r="E61" s="367">
        <f t="shared" si="13"/>
        <v>130.70771601579466</v>
      </c>
      <c r="F61" s="368">
        <f t="shared" si="12"/>
        <v>0.64083460555869232</v>
      </c>
    </row>
    <row r="62" spans="1:6" s="311" customFormat="1" ht="15.5" x14ac:dyDescent="0.35">
      <c r="A62" s="371" t="s">
        <v>510</v>
      </c>
      <c r="B62" s="311">
        <v>778439</v>
      </c>
      <c r="C62" s="365">
        <f t="shared" si="11"/>
        <v>0.63258254487949928</v>
      </c>
      <c r="D62" s="372">
        <v>550.22918701172</v>
      </c>
      <c r="E62" s="367">
        <f t="shared" si="13"/>
        <v>348.06537938685176</v>
      </c>
      <c r="F62" s="368">
        <f t="shared" si="12"/>
        <v>5.9461342134273232E-2</v>
      </c>
    </row>
    <row r="63" spans="1:6" s="311" customFormat="1" ht="15.5" x14ac:dyDescent="0.35">
      <c r="A63" s="371" t="s">
        <v>570</v>
      </c>
      <c r="B63" s="311">
        <v>13780</v>
      </c>
      <c r="C63" s="365">
        <f t="shared" si="11"/>
        <v>1.1198035386766978E-2</v>
      </c>
      <c r="D63" s="372">
        <v>1194.9542236328</v>
      </c>
      <c r="E63" s="367">
        <f t="shared" si="13"/>
        <v>13.381139681806756</v>
      </c>
      <c r="F63" s="368">
        <f t="shared" si="12"/>
        <v>0.12913451994815991</v>
      </c>
    </row>
    <row r="64" spans="1:6" s="311" customFormat="1" ht="15.5" x14ac:dyDescent="0.35">
      <c r="A64" s="371" t="s">
        <v>571</v>
      </c>
      <c r="B64" s="311">
        <v>73809</v>
      </c>
      <c r="C64" s="365">
        <f t="shared" si="11"/>
        <v>5.9979375461675172E-2</v>
      </c>
      <c r="D64" s="372">
        <v>1068.2821044922</v>
      </c>
      <c r="E64" s="367">
        <f t="shared" si="13"/>
        <v>64.074893444326179</v>
      </c>
      <c r="F64" s="368">
        <f t="shared" si="12"/>
        <v>0.11544550745502184</v>
      </c>
    </row>
    <row r="65" spans="1:6" s="311" customFormat="1" ht="15.5" x14ac:dyDescent="0.35">
      <c r="A65" s="371" t="s">
        <v>607</v>
      </c>
      <c r="B65" s="311">
        <v>46140</v>
      </c>
      <c r="C65" s="365">
        <f t="shared" si="11"/>
        <v>3.7494728065705973E-2</v>
      </c>
      <c r="D65" s="372">
        <v>4633.6889648438</v>
      </c>
      <c r="E65" s="367">
        <f t="shared" si="13"/>
        <v>173.73890767788089</v>
      </c>
      <c r="F65" s="368">
        <f t="shared" si="12"/>
        <v>0.50074654595979251</v>
      </c>
    </row>
    <row r="66" spans="1:6" s="311" customFormat="1" ht="15.5" x14ac:dyDescent="0.35">
      <c r="A66" s="371" t="s">
        <v>608</v>
      </c>
      <c r="B66" s="311">
        <v>1.1689995378255802</v>
      </c>
      <c r="C66" s="365">
        <f t="shared" si="11"/>
        <v>9.4996358430225613E-7</v>
      </c>
      <c r="D66" s="372">
        <v>100.68344</v>
      </c>
      <c r="E66" s="367">
        <f t="shared" si="13"/>
        <v>9.5645601542281153E-5</v>
      </c>
      <c r="F66" s="368">
        <f t="shared" si="12"/>
        <v>1.0880506913145724E-2</v>
      </c>
    </row>
    <row r="67" spans="1:6" s="311" customFormat="1" ht="15.5" x14ac:dyDescent="0.35">
      <c r="A67" s="371" t="s">
        <v>609</v>
      </c>
      <c r="B67" s="311">
        <v>173.4586093425751</v>
      </c>
      <c r="C67" s="365">
        <f t="shared" si="11"/>
        <v>1.4095759401723841E-4</v>
      </c>
      <c r="D67" s="372">
        <v>0.46330120000000002</v>
      </c>
      <c r="E67" s="367">
        <f t="shared" si="13"/>
        <v>6.5305822457299381E-5</v>
      </c>
      <c r="F67" s="368">
        <f t="shared" si="12"/>
        <v>5.00673388738874E-5</v>
      </c>
    </row>
    <row r="68" spans="1:6" s="311" customFormat="1" ht="15.5" x14ac:dyDescent="0.35">
      <c r="A68" s="371" t="s">
        <v>610</v>
      </c>
      <c r="B68" s="311">
        <v>17.191414833068826</v>
      </c>
      <c r="C68" s="365">
        <f t="shared" si="11"/>
        <v>1.3970251933911135E-5</v>
      </c>
      <c r="D68" s="372">
        <v>-321.32416000000001</v>
      </c>
      <c r="E68" s="367">
        <f t="shared" si="13"/>
        <v>-4.4889794676523705E-3</v>
      </c>
      <c r="F68" s="368">
        <f t="shared" si="12"/>
        <v>-3.4724377159150922E-2</v>
      </c>
    </row>
    <row r="69" spans="1:6" s="311" customFormat="1" ht="15.5" x14ac:dyDescent="0.35">
      <c r="A69" s="371" t="s">
        <v>611</v>
      </c>
      <c r="B69" s="311">
        <v>47.894627000000007</v>
      </c>
      <c r="C69" s="365">
        <f t="shared" ref="C69:C96" si="14">B69/$B$98</f>
        <v>3.892058983904247E-5</v>
      </c>
      <c r="D69" s="372">
        <v>50.211005999999998</v>
      </c>
      <c r="E69" s="367">
        <f t="shared" si="13"/>
        <v>1.9542419699317003E-3</v>
      </c>
      <c r="F69" s="368">
        <f t="shared" ref="F69:F96" si="15">D69/$E$98</f>
        <v>5.4261276521640634E-3</v>
      </c>
    </row>
    <row r="70" spans="1:6" s="311" customFormat="1" ht="15.5" x14ac:dyDescent="0.35">
      <c r="A70" s="371" t="s">
        <v>612</v>
      </c>
      <c r="B70" s="311">
        <v>2629420</v>
      </c>
      <c r="C70" s="365">
        <f t="shared" si="14"/>
        <v>2.1367444271896101</v>
      </c>
      <c r="D70" s="372">
        <v>-12.328724861145</v>
      </c>
      <c r="E70" s="367">
        <f t="shared" si="13"/>
        <v>-26.343334141405577</v>
      </c>
      <c r="F70" s="368">
        <f t="shared" si="15"/>
        <v>-1.3323221383969373E-3</v>
      </c>
    </row>
    <row r="71" spans="1:6" s="311" customFormat="1" ht="15.5" x14ac:dyDescent="0.35">
      <c r="A71" s="371" t="s">
        <v>613</v>
      </c>
      <c r="B71" s="311">
        <v>581050</v>
      </c>
      <c r="C71" s="365">
        <f t="shared" si="14"/>
        <v>0.47217840794491672</v>
      </c>
      <c r="D71" s="372">
        <v>95.334754943847997</v>
      </c>
      <c r="E71" s="367">
        <f t="shared" si="13"/>
        <v>45.015012811204926</v>
      </c>
      <c r="F71" s="368">
        <f t="shared" si="15"/>
        <v>1.0302493242479513E-2</v>
      </c>
    </row>
    <row r="72" spans="1:6" s="311" customFormat="1" ht="15.5" x14ac:dyDescent="0.35">
      <c r="A72" s="371" t="s">
        <v>614</v>
      </c>
      <c r="B72" s="311">
        <v>292322</v>
      </c>
      <c r="C72" s="365">
        <f t="shared" si="14"/>
        <v>0.23754949929829436</v>
      </c>
      <c r="D72" s="372">
        <v>56.57914352417</v>
      </c>
      <c r="E72" s="367">
        <f t="shared" si="13"/>
        <v>13.440347214892917</v>
      </c>
      <c r="F72" s="368">
        <f t="shared" si="15"/>
        <v>6.1143099824022282E-3</v>
      </c>
    </row>
    <row r="73" spans="1:6" s="311" customFormat="1" ht="15.5" x14ac:dyDescent="0.35">
      <c r="A73" s="327" t="s">
        <v>615</v>
      </c>
      <c r="B73" s="332">
        <v>586125.52734375</v>
      </c>
      <c r="C73" s="384">
        <f t="shared" si="14"/>
        <v>0.47630293151544034</v>
      </c>
      <c r="D73" s="385">
        <v>-1.92307E-2</v>
      </c>
      <c r="E73" s="374">
        <f t="shared" si="13"/>
        <v>-9.1596387850939789E-3</v>
      </c>
      <c r="F73" s="386">
        <f t="shared" si="15"/>
        <v>-2.078194430927583E-6</v>
      </c>
    </row>
    <row r="74" spans="1:6" s="311" customFormat="1" ht="15.5" x14ac:dyDescent="0.35">
      <c r="A74" s="327" t="s">
        <v>616</v>
      </c>
      <c r="B74" s="332">
        <v>19438154624</v>
      </c>
      <c r="C74" s="384">
        <f t="shared" si="14"/>
        <v>15796.019109796818</v>
      </c>
      <c r="D74" s="385">
        <v>3.4098013649999999E-7</v>
      </c>
      <c r="E74" s="374">
        <f t="shared" si="13"/>
        <v>5.3861287522151274E-3</v>
      </c>
      <c r="F74" s="386">
        <f t="shared" si="15"/>
        <v>3.6848529732730847E-11</v>
      </c>
    </row>
    <row r="75" spans="1:6" s="311" customFormat="1" ht="15.5" x14ac:dyDescent="0.35">
      <c r="A75" s="327" t="s">
        <v>617</v>
      </c>
      <c r="B75" s="332">
        <v>820239398862848</v>
      </c>
      <c r="C75" s="384">
        <f t="shared" si="14"/>
        <v>666550784.7668103</v>
      </c>
      <c r="D75" s="387">
        <v>-2.035854341E-12</v>
      </c>
      <c r="E75" s="387">
        <f t="shared" si="13"/>
        <v>-1.3570003086644674E-3</v>
      </c>
      <c r="F75" s="386">
        <f t="shared" si="15"/>
        <v>-2.2000765201713639E-16</v>
      </c>
    </row>
    <row r="76" spans="1:6" s="311" customFormat="1" ht="15.5" x14ac:dyDescent="0.35">
      <c r="A76" s="371" t="s">
        <v>618</v>
      </c>
      <c r="B76" s="311">
        <v>145976</v>
      </c>
      <c r="C76" s="365">
        <f t="shared" si="14"/>
        <v>0.11862441317987636</v>
      </c>
      <c r="D76" s="372">
        <v>83.535629272460994</v>
      </c>
      <c r="E76" s="367">
        <f t="shared" si="13"/>
        <v>9.9093650020573882</v>
      </c>
      <c r="F76" s="368">
        <f t="shared" si="15"/>
        <v>9.0274030346300261E-3</v>
      </c>
    </row>
    <row r="77" spans="1:6" s="311" customFormat="1" ht="15.5" x14ac:dyDescent="0.35">
      <c r="A77" s="371" t="s">
        <v>619</v>
      </c>
      <c r="B77" s="311">
        <v>51217</v>
      </c>
      <c r="C77" s="365">
        <f t="shared" si="14"/>
        <v>4.1620448360235436E-2</v>
      </c>
      <c r="D77" s="372">
        <v>306.92434692383</v>
      </c>
      <c r="E77" s="367">
        <f t="shared" si="13"/>
        <v>12.774328931642252</v>
      </c>
      <c r="F77" s="368">
        <f t="shared" si="15"/>
        <v>3.3168239767308989E-2</v>
      </c>
    </row>
    <row r="78" spans="1:6" s="311" customFormat="1" ht="15.5" x14ac:dyDescent="0.35">
      <c r="A78" s="371" t="s">
        <v>620</v>
      </c>
      <c r="B78" s="311">
        <v>29267</v>
      </c>
      <c r="C78" s="365">
        <f t="shared" si="14"/>
        <v>2.3783229438643624E-2</v>
      </c>
      <c r="D78" s="372">
        <v>861.54620361328</v>
      </c>
      <c r="E78" s="367">
        <f t="shared" si="13"/>
        <v>20.490351032527016</v>
      </c>
      <c r="F78" s="368">
        <f t="shared" si="15"/>
        <v>9.3104282336884253E-2</v>
      </c>
    </row>
    <row r="79" spans="1:6" s="311" customFormat="1" ht="15.5" x14ac:dyDescent="0.35">
      <c r="A79" s="371" t="s">
        <v>621</v>
      </c>
      <c r="B79" s="311">
        <v>1874751</v>
      </c>
      <c r="C79" s="365">
        <f t="shared" si="14"/>
        <v>1.523478087037502</v>
      </c>
      <c r="D79" s="372">
        <v>-47.118591308593999</v>
      </c>
      <c r="E79" s="367">
        <f t="shared" si="13"/>
        <v>-71.784141350718656</v>
      </c>
      <c r="F79" s="368">
        <f t="shared" si="15"/>
        <v>-5.0919412216233872E-3</v>
      </c>
    </row>
    <row r="80" spans="1:6" s="311" customFormat="1" ht="15.5" x14ac:dyDescent="0.35">
      <c r="A80" s="371" t="s">
        <v>622</v>
      </c>
      <c r="B80" s="311">
        <v>1461530</v>
      </c>
      <c r="C80" s="365">
        <f t="shared" si="14"/>
        <v>1.1876824861263817</v>
      </c>
      <c r="D80" s="372">
        <v>-51.257968902587997</v>
      </c>
      <c r="E80" s="367">
        <f t="shared" ref="E80:E96" si="16">D80*C80</f>
        <v>-60.878191940014474</v>
      </c>
      <c r="F80" s="368">
        <f t="shared" si="15"/>
        <v>-5.5392692680982809E-3</v>
      </c>
    </row>
    <row r="81" spans="1:6" s="311" customFormat="1" ht="15.5" x14ac:dyDescent="0.35">
      <c r="A81" s="388" t="s">
        <v>623</v>
      </c>
      <c r="B81" s="311">
        <v>106514</v>
      </c>
      <c r="C81" s="365">
        <f t="shared" si="14"/>
        <v>8.6556425340065163E-2</v>
      </c>
      <c r="D81" s="372">
        <v>-155.06781005859</v>
      </c>
      <c r="E81" s="367">
        <f t="shared" si="16"/>
        <v>-13.422115323983752</v>
      </c>
      <c r="F81" s="368">
        <f t="shared" si="15"/>
        <v>-1.6757635410042174E-2</v>
      </c>
    </row>
    <row r="82" spans="1:6" s="311" customFormat="1" ht="15.5" x14ac:dyDescent="0.35">
      <c r="A82" s="388" t="s">
        <v>624</v>
      </c>
      <c r="B82" s="311">
        <v>47203</v>
      </c>
      <c r="C82" s="365">
        <f t="shared" si="14"/>
        <v>3.8358553291840465E-2</v>
      </c>
      <c r="D82" s="372">
        <v>124.00591278076</v>
      </c>
      <c r="E82" s="367">
        <f t="shared" si="16"/>
        <v>4.7566874139041033</v>
      </c>
      <c r="F82" s="368">
        <f t="shared" si="15"/>
        <v>1.3400884905025143E-2</v>
      </c>
    </row>
    <row r="83" spans="1:6" s="311" customFormat="1" ht="15.5" x14ac:dyDescent="0.35">
      <c r="A83" s="388" t="s">
        <v>625</v>
      </c>
      <c r="B83" s="311">
        <v>100927</v>
      </c>
      <c r="C83" s="365">
        <f t="shared" si="14"/>
        <v>8.2016263968086409E-2</v>
      </c>
      <c r="D83" s="372">
        <v>-150.9439239502</v>
      </c>
      <c r="E83" s="367">
        <f t="shared" si="16"/>
        <v>-12.379856711078364</v>
      </c>
      <c r="F83" s="368">
        <f t="shared" si="15"/>
        <v>-1.6311981474187744E-2</v>
      </c>
    </row>
    <row r="84" spans="1:6" s="311" customFormat="1" ht="15.5" x14ac:dyDescent="0.35">
      <c r="A84" s="388" t="s">
        <v>626</v>
      </c>
      <c r="B84" s="311">
        <v>57574</v>
      </c>
      <c r="C84" s="365">
        <f t="shared" si="14"/>
        <v>4.6786334496206242E-2</v>
      </c>
      <c r="D84" s="372">
        <v>-198.43893432617</v>
      </c>
      <c r="E84" s="367">
        <f t="shared" si="16"/>
        <v>-9.2842303584548915</v>
      </c>
      <c r="F84" s="368">
        <f t="shared" si="15"/>
        <v>-2.1444600986747799E-2</v>
      </c>
    </row>
    <row r="85" spans="1:6" s="311" customFormat="1" ht="15.5" x14ac:dyDescent="0.35">
      <c r="A85" s="388" t="s">
        <v>627</v>
      </c>
      <c r="B85" s="311">
        <v>60433</v>
      </c>
      <c r="C85" s="365">
        <f t="shared" si="14"/>
        <v>4.9109642418613118E-2</v>
      </c>
      <c r="D85" s="372">
        <v>-70.409065246582003</v>
      </c>
      <c r="E85" s="367">
        <f t="shared" si="16"/>
        <v>-3.4577640172884423</v>
      </c>
      <c r="F85" s="368">
        <f t="shared" si="15"/>
        <v>-7.6088612105780634E-3</v>
      </c>
    </row>
    <row r="86" spans="1:6" s="311" customFormat="1" ht="15.5" x14ac:dyDescent="0.35">
      <c r="A86" s="388" t="s">
        <v>628</v>
      </c>
      <c r="B86" s="311">
        <v>475.46197414398296</v>
      </c>
      <c r="C86" s="365">
        <f t="shared" si="14"/>
        <v>3.8637445656940542E-4</v>
      </c>
      <c r="D86" s="372">
        <v>-0.72098770000000001</v>
      </c>
      <c r="E86" s="367">
        <f t="shared" si="16"/>
        <v>-2.785712307807255E-4</v>
      </c>
      <c r="F86" s="368">
        <f t="shared" si="15"/>
        <v>-7.7914616883799711E-5</v>
      </c>
    </row>
    <row r="87" spans="1:6" s="311" customFormat="1" ht="15.5" x14ac:dyDescent="0.35">
      <c r="A87" s="388" t="s">
        <v>629</v>
      </c>
      <c r="B87" s="311">
        <v>21365.595603942958</v>
      </c>
      <c r="C87" s="365">
        <f t="shared" si="14"/>
        <v>1.7362314632242831E-2</v>
      </c>
      <c r="D87" s="372">
        <v>1.62787958979606E-2</v>
      </c>
      <c r="E87" s="367">
        <f t="shared" si="16"/>
        <v>2.8263757621445589E-4</v>
      </c>
      <c r="F87" s="368">
        <f t="shared" si="15"/>
        <v>1.7591924879150787E-6</v>
      </c>
    </row>
    <row r="88" spans="1:6" s="311" customFormat="1" ht="15.5" x14ac:dyDescent="0.35">
      <c r="A88" s="371" t="s">
        <v>630</v>
      </c>
      <c r="B88" s="311">
        <v>303508</v>
      </c>
      <c r="C88" s="365">
        <f t="shared" si="14"/>
        <v>0.24663957359701538</v>
      </c>
      <c r="D88" s="372">
        <v>134.23832702637</v>
      </c>
      <c r="E88" s="367">
        <f t="shared" si="16"/>
        <v>33.108483738160601</v>
      </c>
      <c r="F88" s="368">
        <f t="shared" si="15"/>
        <v>1.4506666093446302E-2</v>
      </c>
    </row>
    <row r="89" spans="1:6" s="311" customFormat="1" ht="15.5" x14ac:dyDescent="0.35">
      <c r="A89" s="371" t="s">
        <v>631</v>
      </c>
      <c r="B89" s="311">
        <v>2299070</v>
      </c>
      <c r="C89" s="365">
        <f t="shared" si="14"/>
        <v>1.8682922508457442</v>
      </c>
      <c r="D89" s="372">
        <v>-210.61302185059</v>
      </c>
      <c r="E89" s="367">
        <f t="shared" si="16"/>
        <v>-393.48667665066273</v>
      </c>
      <c r="F89" s="368">
        <f t="shared" si="15"/>
        <v>-2.2760212009480963E-2</v>
      </c>
    </row>
    <row r="90" spans="1:6" s="311" customFormat="1" ht="15.5" x14ac:dyDescent="0.35">
      <c r="A90" s="371" t="s">
        <v>632</v>
      </c>
      <c r="B90" s="311">
        <v>7687</v>
      </c>
      <c r="C90" s="365">
        <f t="shared" si="14"/>
        <v>6.2466834555934513E-3</v>
      </c>
      <c r="D90" s="372">
        <v>-477.93704223633</v>
      </c>
      <c r="E90" s="367">
        <f t="shared" si="16"/>
        <v>-2.9855214145529509</v>
      </c>
      <c r="F90" s="368">
        <f t="shared" si="15"/>
        <v>-5.1648983110835385E-2</v>
      </c>
    </row>
    <row r="91" spans="1:6" s="311" customFormat="1" ht="15.5" x14ac:dyDescent="0.35">
      <c r="A91" s="371" t="s">
        <v>633</v>
      </c>
      <c r="B91" s="311">
        <v>395884</v>
      </c>
      <c r="C91" s="365">
        <f t="shared" si="14"/>
        <v>0.32170704216653545</v>
      </c>
      <c r="D91" s="372">
        <v>46.104778289795</v>
      </c>
      <c r="E91" s="367">
        <f t="shared" si="16"/>
        <v>14.832231853353848</v>
      </c>
      <c r="F91" s="368">
        <f t="shared" si="15"/>
        <v>4.9823819975873427E-3</v>
      </c>
    </row>
    <row r="92" spans="1:6" s="311" customFormat="1" ht="15.5" x14ac:dyDescent="0.35">
      <c r="A92" s="388" t="s">
        <v>634</v>
      </c>
      <c r="B92" s="311">
        <v>8443.2103999999981</v>
      </c>
      <c r="C92" s="365">
        <f t="shared" si="14"/>
        <v>6.8612023829549311E-3</v>
      </c>
      <c r="D92" s="372">
        <v>9.9600999999999995E-2</v>
      </c>
      <c r="E92" s="367">
        <f t="shared" si="16"/>
        <v>6.8338261854469404E-4</v>
      </c>
      <c r="F92" s="368">
        <f t="shared" si="15"/>
        <v>1.0763531411483628E-5</v>
      </c>
    </row>
    <row r="93" spans="1:6" s="311" customFormat="1" ht="15.5" x14ac:dyDescent="0.35">
      <c r="A93" s="388" t="s">
        <v>635</v>
      </c>
      <c r="B93" s="311">
        <v>1743.0781499999996</v>
      </c>
      <c r="C93" s="365">
        <f t="shared" si="14"/>
        <v>1.4164768364006034E-3</v>
      </c>
      <c r="D93" s="372">
        <v>0.16012080000000001</v>
      </c>
      <c r="E93" s="367">
        <f t="shared" si="16"/>
        <v>2.2680740422593374E-4</v>
      </c>
      <c r="F93" s="368">
        <f t="shared" si="15"/>
        <v>1.730369434475445E-5</v>
      </c>
    </row>
    <row r="94" spans="1:6" s="311" customFormat="1" ht="15.5" x14ac:dyDescent="0.35">
      <c r="A94" s="388" t="s">
        <v>636</v>
      </c>
      <c r="B94" s="311">
        <v>1274.5451700000001</v>
      </c>
      <c r="C94" s="365">
        <f t="shared" si="14"/>
        <v>1.0357330853187905E-3</v>
      </c>
      <c r="D94" s="372">
        <v>-0.35665540000000001</v>
      </c>
      <c r="E94" s="367">
        <f t="shared" si="16"/>
        <v>-3.6939979783760736E-4</v>
      </c>
      <c r="F94" s="368">
        <f t="shared" si="15"/>
        <v>-3.8542500587095089E-5</v>
      </c>
    </row>
    <row r="95" spans="1:6" s="311" customFormat="1" ht="15.5" x14ac:dyDescent="0.35">
      <c r="A95" s="371" t="s">
        <v>637</v>
      </c>
      <c r="B95" s="311">
        <v>85697</v>
      </c>
      <c r="C95" s="365">
        <f t="shared" si="14"/>
        <v>6.9639915714061668E-2</v>
      </c>
      <c r="D95" s="372">
        <v>2834.1716308594</v>
      </c>
      <c r="E95" s="367">
        <f t="shared" si="16"/>
        <v>197.37147349223332</v>
      </c>
      <c r="F95" s="368">
        <f t="shared" si="15"/>
        <v>0.3062790069807626</v>
      </c>
    </row>
    <row r="96" spans="1:6" s="311" customFormat="1" ht="15.5" x14ac:dyDescent="0.35">
      <c r="A96" s="354" t="s">
        <v>638</v>
      </c>
      <c r="B96" s="389">
        <v>108425</v>
      </c>
      <c r="C96" s="390">
        <f t="shared" si="14"/>
        <v>8.8109360436154541E-2</v>
      </c>
      <c r="D96" s="391">
        <v>474.31182861328</v>
      </c>
      <c r="E96" s="392">
        <f t="shared" si="16"/>
        <v>41.791311866419043</v>
      </c>
      <c r="F96" s="393">
        <f t="shared" si="15"/>
        <v>5.1257218964842505E-2</v>
      </c>
    </row>
    <row r="97" spans="1:6" x14ac:dyDescent="0.2">
      <c r="C97" s="1"/>
    </row>
    <row r="98" spans="1:6" ht="15.5" x14ac:dyDescent="0.35">
      <c r="A98" s="363" t="s">
        <v>584</v>
      </c>
      <c r="B98" s="364">
        <v>1230573</v>
      </c>
      <c r="C98" s="356"/>
      <c r="D98" s="376" t="s">
        <v>383</v>
      </c>
      <c r="E98" s="367">
        <f>SUM(E5:E96)</f>
        <v>9253.5615117669968</v>
      </c>
      <c r="F98" s="311"/>
    </row>
    <row r="99" spans="1:6" ht="15.5" x14ac:dyDescent="0.35">
      <c r="A99" s="363" t="s">
        <v>586</v>
      </c>
      <c r="B99" s="378">
        <v>0.48299999999999998</v>
      </c>
      <c r="C99" s="356"/>
      <c r="D99" s="311"/>
      <c r="E99" s="311"/>
      <c r="F99" s="311"/>
    </row>
    <row r="100" spans="1:6" ht="15.5" x14ac:dyDescent="0.35">
      <c r="A100" s="363" t="s">
        <v>587</v>
      </c>
      <c r="B100" s="374">
        <f>B101*B102</f>
        <v>9259770525.5178471</v>
      </c>
      <c r="C100" s="365"/>
      <c r="D100" s="311"/>
      <c r="E100" s="311"/>
      <c r="F100" s="311"/>
    </row>
    <row r="101" spans="1:6" ht="15.5" x14ac:dyDescent="0.35">
      <c r="A101" s="363" t="s">
        <v>588</v>
      </c>
      <c r="B101" s="328">
        <v>5473001</v>
      </c>
      <c r="C101" s="365"/>
      <c r="D101" s="311"/>
      <c r="E101" s="379"/>
      <c r="F101" s="379"/>
    </row>
    <row r="102" spans="1:6" ht="15.5" x14ac:dyDescent="0.35">
      <c r="A102" s="373" t="s">
        <v>589</v>
      </c>
      <c r="B102" s="367">
        <v>1691.900024414</v>
      </c>
      <c r="C102" s="356"/>
      <c r="D102" s="311"/>
      <c r="E102" s="379"/>
      <c r="F102" s="379"/>
    </row>
    <row r="103" spans="1:6" ht="15.5" x14ac:dyDescent="0.35">
      <c r="A103" s="311"/>
      <c r="B103" s="311"/>
      <c r="C103" s="442"/>
      <c r="D103" s="311"/>
      <c r="E103" s="332"/>
      <c r="F103" s="332"/>
    </row>
    <row r="104" spans="1:6" ht="15.5" x14ac:dyDescent="0.35">
      <c r="A104" s="311"/>
      <c r="B104" s="311"/>
      <c r="C104" s="356"/>
      <c r="D104" s="311"/>
      <c r="E104" s="311"/>
      <c r="F104" s="311"/>
    </row>
    <row r="105" spans="1:6" ht="15.5" x14ac:dyDescent="0.35">
      <c r="A105" s="335" t="s">
        <v>639</v>
      </c>
      <c r="B105" s="443" t="s">
        <v>640</v>
      </c>
      <c r="C105" s="356"/>
      <c r="D105" s="311"/>
      <c r="E105" s="311"/>
      <c r="F105" s="311"/>
    </row>
    <row r="106" spans="1:6" ht="15.5" x14ac:dyDescent="0.35">
      <c r="A106" s="371" t="s">
        <v>641</v>
      </c>
      <c r="B106" s="311">
        <v>20.01173</v>
      </c>
      <c r="C106" s="356"/>
      <c r="D106" s="311"/>
      <c r="E106" s="311"/>
      <c r="F106" s="311"/>
    </row>
    <row r="107" spans="1:6" ht="15.5" x14ac:dyDescent="0.35">
      <c r="A107" s="371" t="s">
        <v>642</v>
      </c>
      <c r="B107" s="311">
        <v>835.423</v>
      </c>
      <c r="C107" s="356"/>
      <c r="D107" s="311"/>
      <c r="E107" s="311"/>
      <c r="F107" s="311"/>
    </row>
    <row r="108" spans="1:6" ht="15.5" x14ac:dyDescent="0.35">
      <c r="A108" s="371" t="s">
        <v>634</v>
      </c>
      <c r="B108" s="311">
        <v>371.6191</v>
      </c>
      <c r="C108" s="356"/>
      <c r="D108" s="311"/>
      <c r="E108" s="311"/>
      <c r="F108" s="311"/>
    </row>
    <row r="109" spans="1:6" ht="15.5" x14ac:dyDescent="0.35">
      <c r="A109" s="371" t="s">
        <v>635</v>
      </c>
      <c r="B109" s="311">
        <v>84.979650000000007</v>
      </c>
      <c r="C109" s="356"/>
      <c r="D109" s="311"/>
      <c r="E109" s="311"/>
      <c r="F109" s="311"/>
    </row>
    <row r="110" spans="1:6" ht="15.5" x14ac:dyDescent="0.35">
      <c r="A110" s="371" t="s">
        <v>636</v>
      </c>
      <c r="B110" s="311">
        <v>62.092910000000003</v>
      </c>
      <c r="C110" s="356"/>
      <c r="D110" s="311"/>
      <c r="E110" s="311"/>
      <c r="F110" s="311"/>
    </row>
    <row r="111" spans="1:6" ht="15.5" x14ac:dyDescent="0.35">
      <c r="A111" s="371" t="s">
        <v>623</v>
      </c>
      <c r="B111" s="311">
        <v>1.9461699999999998E-2</v>
      </c>
      <c r="C111" s="356"/>
      <c r="D111" s="311"/>
      <c r="E111" s="311"/>
      <c r="F111" s="311"/>
    </row>
    <row r="112" spans="1:6" ht="15.5" x14ac:dyDescent="0.35">
      <c r="A112" s="371" t="s">
        <v>624</v>
      </c>
      <c r="B112" s="311">
        <v>8.6247000000000008E-3</v>
      </c>
      <c r="C112" s="356"/>
      <c r="D112" s="311"/>
      <c r="E112" s="311"/>
      <c r="F112" s="311"/>
    </row>
    <row r="113" spans="1:6" ht="15.5" x14ac:dyDescent="0.35">
      <c r="A113" s="371" t="s">
        <v>625</v>
      </c>
      <c r="B113" s="311">
        <v>1.84409E-2</v>
      </c>
      <c r="C113" s="356"/>
      <c r="D113" s="311"/>
      <c r="E113" s="311"/>
      <c r="F113" s="311"/>
    </row>
    <row r="114" spans="1:6" ht="15.5" x14ac:dyDescent="0.35">
      <c r="A114" s="371" t="s">
        <v>626</v>
      </c>
      <c r="B114" s="311">
        <v>1.05196E-2</v>
      </c>
      <c r="C114" s="356"/>
      <c r="D114" s="311"/>
      <c r="E114" s="311"/>
      <c r="F114" s="311"/>
    </row>
    <row r="115" spans="1:6" ht="15.5" x14ac:dyDescent="0.35">
      <c r="A115" s="371" t="s">
        <v>627</v>
      </c>
      <c r="B115" s="311">
        <v>1.1042E-2</v>
      </c>
      <c r="C115" s="356"/>
      <c r="D115" s="311"/>
      <c r="E115" s="311"/>
      <c r="F115" s="31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W95"/>
  <sheetViews>
    <sheetView topLeftCell="B3" zoomScale="70" zoomScaleNormal="70" workbookViewId="0">
      <selection activeCell="A108" sqref="A108"/>
    </sheetView>
  </sheetViews>
  <sheetFormatPr defaultRowHeight="14" x14ac:dyDescent="0.3"/>
  <cols>
    <col min="1" max="1" width="30.1640625" customWidth="1"/>
    <col min="2" max="3" width="13.08203125" customWidth="1"/>
    <col min="4" max="4" width="14.5" customWidth="1"/>
    <col min="5" max="5" width="14.1640625" customWidth="1"/>
    <col min="6" max="6" width="15" customWidth="1"/>
    <col min="7" max="7" width="16.9140625" customWidth="1"/>
    <col min="8" max="8" width="13.4140625" customWidth="1"/>
    <col min="9" max="9" width="15.1640625" customWidth="1"/>
    <col min="10" max="10" width="12.08203125" customWidth="1"/>
    <col min="11" max="11" width="11.6640625" customWidth="1"/>
  </cols>
  <sheetData>
    <row r="1" spans="1:23" s="342" customFormat="1" ht="18" x14ac:dyDescent="0.4">
      <c r="A1" s="406" t="s">
        <v>835</v>
      </c>
    </row>
    <row r="2" spans="1:23" s="342" customFormat="1" ht="15.5" x14ac:dyDescent="0.35">
      <c r="A2" s="342" t="s">
        <v>495</v>
      </c>
    </row>
    <row r="3" spans="1:23" s="342" customFormat="1" ht="15.5" x14ac:dyDescent="0.35"/>
    <row r="4" spans="1:23" s="342" customFormat="1" ht="15.5" x14ac:dyDescent="0.35">
      <c r="A4" s="439" t="s">
        <v>834</v>
      </c>
      <c r="B4" s="481" t="s">
        <v>47</v>
      </c>
      <c r="C4" s="481" t="s">
        <v>49</v>
      </c>
      <c r="D4" s="481" t="s">
        <v>51</v>
      </c>
      <c r="E4" s="481" t="s">
        <v>53</v>
      </c>
      <c r="F4" s="481" t="s">
        <v>55</v>
      </c>
      <c r="G4" s="481" t="s">
        <v>57</v>
      </c>
      <c r="H4" s="481" t="s">
        <v>59</v>
      </c>
      <c r="I4" s="481" t="s">
        <v>61</v>
      </c>
      <c r="J4" s="481" t="s">
        <v>63</v>
      </c>
      <c r="K4" s="481" t="s">
        <v>65</v>
      </c>
      <c r="L4" s="481" t="s">
        <v>67</v>
      </c>
      <c r="M4" s="481" t="s">
        <v>69</v>
      </c>
      <c r="N4" s="481" t="s">
        <v>71</v>
      </c>
      <c r="O4" s="481" t="s">
        <v>73</v>
      </c>
      <c r="P4" s="481" t="s">
        <v>75</v>
      </c>
      <c r="Q4" s="481" t="s">
        <v>77</v>
      </c>
      <c r="R4" s="481" t="s">
        <v>79</v>
      </c>
      <c r="S4" s="482" t="s">
        <v>37</v>
      </c>
      <c r="T4" s="482" t="s">
        <v>501</v>
      </c>
      <c r="U4" s="482" t="s">
        <v>41</v>
      </c>
      <c r="V4" s="482" t="s">
        <v>43</v>
      </c>
      <c r="W4" s="482" t="s">
        <v>45</v>
      </c>
    </row>
    <row r="5" spans="1:23" s="342" customFormat="1" ht="15.5" x14ac:dyDescent="0.35">
      <c r="A5" s="342" t="s">
        <v>806</v>
      </c>
      <c r="B5" s="440">
        <v>1.6739223152399063E-2</v>
      </c>
      <c r="C5" s="440">
        <v>1.5655789524316788E-2</v>
      </c>
      <c r="D5" s="440">
        <v>1.5748122707009315E-2</v>
      </c>
      <c r="E5" s="440">
        <v>1.763494499027729E-2</v>
      </c>
      <c r="F5" s="440">
        <v>1.5620306134223938E-2</v>
      </c>
      <c r="G5" s="440">
        <v>1.3305450789630413E-2</v>
      </c>
      <c r="H5" s="440">
        <v>1.3824425637722015E-2</v>
      </c>
      <c r="I5" s="440">
        <v>1.2944702990353107E-2</v>
      </c>
      <c r="J5" s="440">
        <v>1.6144316643476486E-2</v>
      </c>
      <c r="K5" s="440">
        <v>1.4895190484821796E-2</v>
      </c>
      <c r="L5" s="440">
        <v>1.6737537458539009E-2</v>
      </c>
      <c r="M5" s="440">
        <v>1.7633883282542229E-2</v>
      </c>
      <c r="N5" s="440">
        <v>1.99175626039505E-2</v>
      </c>
      <c r="O5" s="440">
        <v>2.125287801027298E-2</v>
      </c>
      <c r="P5" s="440">
        <v>2.0834486931562424E-2</v>
      </c>
      <c r="Q5" s="440">
        <v>1.4079749584197998E-2</v>
      </c>
      <c r="R5" s="440">
        <v>1.5811480581760406E-2</v>
      </c>
      <c r="S5" s="440">
        <v>1.9524333998560905E-2</v>
      </c>
      <c r="T5" s="440">
        <v>2.2079113870859146E-2</v>
      </c>
      <c r="U5" s="440">
        <v>2.0093575119972229E-2</v>
      </c>
      <c r="V5" s="440">
        <v>1.6763819381594658E-2</v>
      </c>
      <c r="W5" s="440">
        <v>1.7881268635392189E-2</v>
      </c>
    </row>
    <row r="6" spans="1:23" s="342" customFormat="1" ht="15.5" x14ac:dyDescent="0.35">
      <c r="A6" s="342" t="s">
        <v>807</v>
      </c>
      <c r="B6" s="440">
        <v>4.877135157585144E-2</v>
      </c>
      <c r="C6" s="440">
        <v>4.7378648072481155E-2</v>
      </c>
      <c r="D6" s="440">
        <v>4.7590732574462891E-2</v>
      </c>
      <c r="E6" s="440">
        <v>5.2922073751688004E-2</v>
      </c>
      <c r="F6" s="440">
        <v>4.6565297991037369E-2</v>
      </c>
      <c r="G6" s="440">
        <v>4.3044257909059525E-2</v>
      </c>
      <c r="H6" s="440">
        <v>4.2708422988653183E-2</v>
      </c>
      <c r="I6" s="440">
        <v>3.9592590183019638E-2</v>
      </c>
      <c r="J6" s="440">
        <v>4.7820970416069031E-2</v>
      </c>
      <c r="K6" s="440">
        <v>4.5568428933620453E-2</v>
      </c>
      <c r="L6" s="440">
        <v>5.2139550447463989E-2</v>
      </c>
      <c r="M6" s="440">
        <v>5.3899411112070084E-2</v>
      </c>
      <c r="N6" s="440">
        <v>5.673300102353096E-2</v>
      </c>
      <c r="O6" s="440">
        <v>6.2962375581264496E-2</v>
      </c>
      <c r="P6" s="440">
        <v>6.3646622002124786E-2</v>
      </c>
      <c r="Q6" s="440">
        <v>4.4671449810266495E-2</v>
      </c>
      <c r="R6" s="440">
        <v>4.7811038792133331E-2</v>
      </c>
      <c r="S6" s="440">
        <v>5.0623297691345215E-2</v>
      </c>
      <c r="T6" s="440">
        <v>5.7643290609121323E-2</v>
      </c>
      <c r="U6" s="440">
        <v>6.0062412172555923E-2</v>
      </c>
      <c r="V6" s="440">
        <v>5.3552504628896713E-2</v>
      </c>
      <c r="W6" s="440">
        <v>5.7606220245361328E-2</v>
      </c>
    </row>
    <row r="7" spans="1:23" s="342" customFormat="1" ht="15.5" x14ac:dyDescent="0.35">
      <c r="A7" s="342" t="s">
        <v>809</v>
      </c>
      <c r="B7" s="440">
        <v>0.11280250549316406</v>
      </c>
      <c r="C7" s="440">
        <v>0.11354967206716537</v>
      </c>
      <c r="D7" s="440">
        <v>0.12346227467060089</v>
      </c>
      <c r="E7" s="440">
        <v>0.11809185892343521</v>
      </c>
      <c r="F7" s="440">
        <v>0.11415793001651764</v>
      </c>
      <c r="G7" s="440">
        <v>0.10813196748495102</v>
      </c>
      <c r="H7" s="440">
        <v>0.10631458461284637</v>
      </c>
      <c r="I7" s="440">
        <v>0.10302308201789856</v>
      </c>
      <c r="J7" s="440">
        <v>0.11348399519920349</v>
      </c>
      <c r="K7" s="440">
        <v>0.10775003582239151</v>
      </c>
      <c r="L7" s="440">
        <v>0.12173018604516983</v>
      </c>
      <c r="M7" s="440">
        <v>0.12889431416988373</v>
      </c>
      <c r="N7" s="440">
        <v>0.12788964807987213</v>
      </c>
      <c r="O7" s="440">
        <v>0.13967831432819366</v>
      </c>
      <c r="P7" s="440">
        <v>0.14811329543590546</v>
      </c>
      <c r="Q7" s="440">
        <v>0.11032740026712418</v>
      </c>
      <c r="R7" s="440">
        <v>0.1156979501247406</v>
      </c>
      <c r="S7" s="440">
        <v>9.6074916422367096E-2</v>
      </c>
      <c r="T7" s="440">
        <v>0.1254483163356781</v>
      </c>
      <c r="U7" s="440">
        <v>0.14000864326953888</v>
      </c>
      <c r="V7" s="440">
        <v>0.13578183948993683</v>
      </c>
      <c r="W7" s="440">
        <v>0.14643281698226929</v>
      </c>
    </row>
    <row r="8" spans="1:23" s="342" customFormat="1" ht="15.5" x14ac:dyDescent="0.35">
      <c r="A8" s="342" t="s">
        <v>808</v>
      </c>
      <c r="B8" s="440">
        <v>9.7029566764831543E-2</v>
      </c>
      <c r="C8" s="440">
        <v>8.0028019845485687E-2</v>
      </c>
      <c r="D8" s="440">
        <v>7.7014550566673279E-2</v>
      </c>
      <c r="E8" s="440">
        <v>9.865415096282959E-2</v>
      </c>
      <c r="F8" s="440">
        <v>8.1601321697235107E-2</v>
      </c>
      <c r="G8" s="440">
        <v>7.5632542371749878E-2</v>
      </c>
      <c r="H8" s="440">
        <v>8.6590617895126343E-2</v>
      </c>
      <c r="I8" s="440">
        <v>7.5609490275382996E-2</v>
      </c>
      <c r="J8" s="440">
        <v>8.88628289103508E-2</v>
      </c>
      <c r="K8" s="440">
        <v>9.3326099216938019E-2</v>
      </c>
      <c r="L8" s="440">
        <v>0.10196822881698608</v>
      </c>
      <c r="M8" s="440">
        <v>8.1602521240711212E-2</v>
      </c>
      <c r="N8" s="440">
        <v>9.8221361637115479E-2</v>
      </c>
      <c r="O8" s="440">
        <v>8.622761070728302E-2</v>
      </c>
      <c r="P8" s="440">
        <v>9.9375955760478973E-2</v>
      </c>
      <c r="Q8" s="440">
        <v>7.7208913862705231E-2</v>
      </c>
      <c r="R8" s="440">
        <v>8.5802897810935974E-2</v>
      </c>
      <c r="S8" s="440">
        <v>0.10354068875312805</v>
      </c>
      <c r="T8" s="440">
        <v>0.10089173913002014</v>
      </c>
      <c r="U8" s="440">
        <v>8.6707592010498047E-2</v>
      </c>
      <c r="V8" s="440">
        <v>7.6012961566448212E-2</v>
      </c>
      <c r="W8" s="440">
        <v>8.0800950527191162E-2</v>
      </c>
    </row>
    <row r="9" spans="1:23" s="342" customFormat="1" ht="15.5" x14ac:dyDescent="0.35">
      <c r="A9" s="342" t="s">
        <v>810</v>
      </c>
      <c r="B9" s="440">
        <v>0.1755487322807312</v>
      </c>
      <c r="C9" s="440">
        <v>0.15145982801914215</v>
      </c>
      <c r="D9" s="440">
        <v>0.15150640904903412</v>
      </c>
      <c r="E9" s="440">
        <v>0.1871277391910553</v>
      </c>
      <c r="F9" s="440">
        <v>0.15262222290039063</v>
      </c>
      <c r="G9" s="440">
        <v>0.14461235702037811</v>
      </c>
      <c r="H9" s="440">
        <v>0.14752702414989471</v>
      </c>
      <c r="I9" s="440">
        <v>0.13093510270118713</v>
      </c>
      <c r="J9" s="440">
        <v>0.16025474667549133</v>
      </c>
      <c r="K9" s="440">
        <v>0.15482766926288605</v>
      </c>
      <c r="L9" s="440">
        <v>0.16910310089588165</v>
      </c>
      <c r="M9" s="440">
        <v>0.15201079845428467</v>
      </c>
      <c r="N9" s="440">
        <v>0.17050266265869141</v>
      </c>
      <c r="O9" s="440">
        <v>0.1598164290189743</v>
      </c>
      <c r="P9" s="440">
        <v>0.17418228089809418</v>
      </c>
      <c r="Q9" s="440">
        <v>0.13962192833423615</v>
      </c>
      <c r="R9" s="440">
        <v>0.1577160507440567</v>
      </c>
      <c r="S9" s="440">
        <v>0.25253146886825562</v>
      </c>
      <c r="T9" s="440">
        <v>0.21420837938785553</v>
      </c>
      <c r="U9" s="440">
        <v>0.18563014268875122</v>
      </c>
      <c r="V9" s="440">
        <v>0.14863239228725433</v>
      </c>
      <c r="W9" s="440">
        <v>0.16439978778362274</v>
      </c>
    </row>
    <row r="10" spans="1:23" s="342" customFormat="1" ht="15.5" x14ac:dyDescent="0.35">
      <c r="A10" s="342" t="s">
        <v>811</v>
      </c>
      <c r="B10" s="440">
        <v>0.18520741164684296</v>
      </c>
      <c r="C10" s="440">
        <v>0.17785410583019257</v>
      </c>
      <c r="D10" s="440">
        <v>0.1890178769826889</v>
      </c>
      <c r="E10" s="440">
        <v>0.18225201964378357</v>
      </c>
      <c r="F10" s="440">
        <v>0.18261834979057312</v>
      </c>
      <c r="G10" s="440">
        <v>0.18414957821369171</v>
      </c>
      <c r="H10" s="440">
        <v>0.17964848875999451</v>
      </c>
      <c r="I10" s="440">
        <v>0.16844728589057922</v>
      </c>
      <c r="J10" s="440">
        <v>0.17138479650020599</v>
      </c>
      <c r="K10" s="440">
        <v>0.1609957218170166</v>
      </c>
      <c r="L10" s="440">
        <v>0.17136326432228088</v>
      </c>
      <c r="M10" s="440">
        <v>0.17124821245670319</v>
      </c>
      <c r="N10" s="440">
        <v>0.17465262115001678</v>
      </c>
      <c r="O10" s="440">
        <v>0.1690385490655899</v>
      </c>
      <c r="P10" s="440">
        <v>0.17334716022014618</v>
      </c>
      <c r="Q10" s="440">
        <v>0.1648087352514267</v>
      </c>
      <c r="R10" s="440">
        <v>0.16517597436904907</v>
      </c>
      <c r="S10" s="440">
        <v>0.18867959082126617</v>
      </c>
      <c r="T10" s="440">
        <v>0.20093759894371033</v>
      </c>
      <c r="U10" s="440">
        <v>0.20947146415710449</v>
      </c>
      <c r="V10" s="440">
        <v>0.21075533330440521</v>
      </c>
      <c r="W10" s="440">
        <v>0.21364763379096985</v>
      </c>
    </row>
    <row r="11" spans="1:23" s="342" customFormat="1" ht="15.5" x14ac:dyDescent="0.35">
      <c r="A11" s="342" t="s">
        <v>816</v>
      </c>
      <c r="B11" s="440">
        <v>0.12853820621967316</v>
      </c>
      <c r="C11" s="440">
        <v>0.14121395349502563</v>
      </c>
      <c r="D11" s="440">
        <v>0.14269715547561646</v>
      </c>
      <c r="E11" s="440">
        <v>0.12341204285621643</v>
      </c>
      <c r="F11" s="440">
        <v>0.1401822417974472</v>
      </c>
      <c r="G11" s="440">
        <v>0.15042386949062347</v>
      </c>
      <c r="H11" s="440">
        <v>0.14817145466804504</v>
      </c>
      <c r="I11" s="440">
        <v>0.16215552389621735</v>
      </c>
      <c r="J11" s="440">
        <v>0.14906150102615356</v>
      </c>
      <c r="K11" s="440">
        <v>0.15722568333148956</v>
      </c>
      <c r="L11" s="440">
        <v>0.13432770967483521</v>
      </c>
      <c r="M11" s="440">
        <v>0.14053654670715332</v>
      </c>
      <c r="N11" s="440">
        <v>0.11980341374874115</v>
      </c>
      <c r="O11" s="440">
        <v>0.12674996256828308</v>
      </c>
      <c r="P11" s="440">
        <v>0.12441006302833557</v>
      </c>
      <c r="Q11" s="440">
        <v>0.1667274683713913</v>
      </c>
      <c r="R11" s="440">
        <v>0.15917813777923584</v>
      </c>
      <c r="S11" s="440">
        <v>0.11387331783771515</v>
      </c>
      <c r="T11" s="440">
        <v>0.11689937859773636</v>
      </c>
      <c r="U11" s="440">
        <v>0.11949556320905685</v>
      </c>
      <c r="V11" s="440">
        <v>0.13738179206848145</v>
      </c>
      <c r="W11" s="440">
        <v>0.13179810345172882</v>
      </c>
    </row>
    <row r="12" spans="1:23" s="342" customFormat="1" ht="15.5" x14ac:dyDescent="0.35">
      <c r="A12" s="342" t="s">
        <v>817</v>
      </c>
      <c r="B12" s="440">
        <v>0.13127565383911133</v>
      </c>
      <c r="C12" s="440">
        <v>0.14936725795269012</v>
      </c>
      <c r="D12" s="440">
        <v>0.14220069348812103</v>
      </c>
      <c r="E12" s="440">
        <v>0.1223008781671524</v>
      </c>
      <c r="F12" s="440">
        <v>0.15189746022224426</v>
      </c>
      <c r="G12" s="440">
        <v>0.15552449226379395</v>
      </c>
      <c r="H12" s="440">
        <v>0.14775717258453369</v>
      </c>
      <c r="I12" s="440">
        <v>0.16712535917758942</v>
      </c>
      <c r="J12" s="440">
        <v>0.1405530720949173</v>
      </c>
      <c r="K12" s="440">
        <v>0.14885646104812622</v>
      </c>
      <c r="L12" s="440">
        <v>0.1300102174282074</v>
      </c>
      <c r="M12" s="440">
        <v>0.13871920108795166</v>
      </c>
      <c r="N12" s="440">
        <v>0.1237003281712532</v>
      </c>
      <c r="O12" s="440">
        <v>0.13232377171516418</v>
      </c>
      <c r="P12" s="440">
        <v>0.11085092276334763</v>
      </c>
      <c r="Q12" s="440">
        <v>0.15594470500946045</v>
      </c>
      <c r="R12" s="440">
        <v>0.14124000072479248</v>
      </c>
      <c r="S12" s="440">
        <v>9.9050506949424744E-2</v>
      </c>
      <c r="T12" s="440">
        <v>9.8632320761680603E-2</v>
      </c>
      <c r="U12" s="440">
        <v>0.10599853843450546</v>
      </c>
      <c r="V12" s="440">
        <v>0.12818971276283264</v>
      </c>
      <c r="W12" s="440">
        <v>0.11314048618078232</v>
      </c>
    </row>
    <row r="13" spans="1:23" s="342" customFormat="1" ht="15.5" x14ac:dyDescent="0.35">
      <c r="A13" s="342" t="s">
        <v>818</v>
      </c>
      <c r="B13" s="440">
        <v>7.0443369448184967E-2</v>
      </c>
      <c r="C13" s="440">
        <v>8.5446983575820923E-2</v>
      </c>
      <c r="D13" s="440">
        <v>7.6015867292881012E-2</v>
      </c>
      <c r="E13" s="440">
        <v>6.6941902041435242E-2</v>
      </c>
      <c r="F13" s="440">
        <v>8.1463046371936798E-2</v>
      </c>
      <c r="G13" s="440">
        <v>8.5188060998916626E-2</v>
      </c>
      <c r="H13" s="440">
        <v>8.7388470768928528E-2</v>
      </c>
      <c r="I13" s="440">
        <v>9.6471264958381653E-2</v>
      </c>
      <c r="J13" s="440">
        <v>7.7029980719089508E-2</v>
      </c>
      <c r="K13" s="440">
        <v>8.0148890614509583E-2</v>
      </c>
      <c r="L13" s="440">
        <v>7.1249537169933319E-2</v>
      </c>
      <c r="M13" s="440">
        <v>7.6506823301315308E-2</v>
      </c>
      <c r="N13" s="440">
        <v>7.1943901479244232E-2</v>
      </c>
      <c r="O13" s="440">
        <v>6.994049996137619E-2</v>
      </c>
      <c r="P13" s="440">
        <v>5.9945177286863327E-2</v>
      </c>
      <c r="Q13" s="440">
        <v>8.6464792490005493E-2</v>
      </c>
      <c r="R13" s="440">
        <v>7.8669734299182892E-2</v>
      </c>
      <c r="S13" s="440">
        <v>5.2465617656707764E-2</v>
      </c>
      <c r="T13" s="440">
        <v>4.795524850487709E-2</v>
      </c>
      <c r="U13" s="440">
        <v>5.2740287035703659E-2</v>
      </c>
      <c r="V13" s="440">
        <v>6.4854070544242859E-2</v>
      </c>
      <c r="W13" s="440">
        <v>5.4299168288707733E-2</v>
      </c>
    </row>
    <row r="14" spans="1:23" s="342" customFormat="1" ht="15.5" x14ac:dyDescent="0.35">
      <c r="A14" s="342" t="s">
        <v>819</v>
      </c>
      <c r="B14" s="440">
        <v>2.074505016207695E-2</v>
      </c>
      <c r="C14" s="440">
        <v>2.380005456507206E-2</v>
      </c>
      <c r="D14" s="440">
        <v>2.1647894755005836E-2</v>
      </c>
      <c r="E14" s="440">
        <v>1.9219310954213142E-2</v>
      </c>
      <c r="F14" s="440">
        <v>2.1046407520771027E-2</v>
      </c>
      <c r="G14" s="440">
        <v>2.5556417182087898E-2</v>
      </c>
      <c r="H14" s="440">
        <v>2.5677220895886421E-2</v>
      </c>
      <c r="I14" s="440">
        <v>2.819373644888401E-2</v>
      </c>
      <c r="J14" s="440">
        <v>2.2832619026303291E-2</v>
      </c>
      <c r="K14" s="440">
        <v>2.3520920425653458E-2</v>
      </c>
      <c r="L14" s="440">
        <v>2.007707767188549E-2</v>
      </c>
      <c r="M14" s="440">
        <v>2.3793524131178856E-2</v>
      </c>
      <c r="N14" s="440">
        <v>2.1610163152217865E-2</v>
      </c>
      <c r="O14" s="440">
        <v>2.0123638212680817E-2</v>
      </c>
      <c r="P14" s="440">
        <v>1.6204066574573517E-2</v>
      </c>
      <c r="Q14" s="440">
        <v>2.6578566059470177E-2</v>
      </c>
      <c r="R14" s="440">
        <v>2.178163081407547E-2</v>
      </c>
      <c r="S14" s="440">
        <v>1.4528775587677956E-2</v>
      </c>
      <c r="T14" s="440">
        <v>1.0473762638866901E-2</v>
      </c>
      <c r="U14" s="440">
        <v>1.2872045859694481E-2</v>
      </c>
      <c r="V14" s="440">
        <v>1.7660606652498245E-2</v>
      </c>
      <c r="W14" s="440">
        <v>1.2991268187761307E-2</v>
      </c>
    </row>
    <row r="15" spans="1:23" s="342" customFormat="1" ht="15.5" x14ac:dyDescent="0.35">
      <c r="A15" s="342" t="s">
        <v>820</v>
      </c>
      <c r="B15" s="440">
        <v>1.2898927554488182E-2</v>
      </c>
      <c r="C15" s="440">
        <v>1.4245684258639812E-2</v>
      </c>
      <c r="D15" s="440">
        <v>1.3098419643938541E-2</v>
      </c>
      <c r="E15" s="440">
        <v>1.1443076655268669E-2</v>
      </c>
      <c r="F15" s="440">
        <v>1.2225416488945484E-2</v>
      </c>
      <c r="G15" s="440">
        <v>1.443102303892374E-2</v>
      </c>
      <c r="H15" s="440">
        <v>1.4392131939530373E-2</v>
      </c>
      <c r="I15" s="440">
        <v>1.5501860529184341E-2</v>
      </c>
      <c r="J15" s="440">
        <v>1.2571167200803757E-2</v>
      </c>
      <c r="K15" s="440">
        <v>1.2884906493127346E-2</v>
      </c>
      <c r="L15" s="440">
        <v>1.1293582618236542E-2</v>
      </c>
      <c r="M15" s="440">
        <v>1.5154754742980003E-2</v>
      </c>
      <c r="N15" s="440">
        <v>1.5025332570075989E-2</v>
      </c>
      <c r="O15" s="440">
        <v>1.1885975487530231E-2</v>
      </c>
      <c r="P15" s="440">
        <v>9.089968167245388E-3</v>
      </c>
      <c r="Q15" s="440">
        <v>1.3566284440457821E-2</v>
      </c>
      <c r="R15" s="440">
        <v>1.1115110479295254E-2</v>
      </c>
      <c r="S15" s="440">
        <v>9.1074761003255844E-3</v>
      </c>
      <c r="T15" s="440">
        <v>4.8308633267879486E-3</v>
      </c>
      <c r="U15" s="440">
        <v>6.9197411648929119E-3</v>
      </c>
      <c r="V15" s="440">
        <v>1.0414968244731426E-2</v>
      </c>
      <c r="W15" s="440">
        <v>7.0022786967456341E-3</v>
      </c>
    </row>
    <row r="16" spans="1:23" s="342" customFormat="1" ht="15.5" x14ac:dyDescent="0.35">
      <c r="A16" s="342" t="s">
        <v>552</v>
      </c>
      <c r="B16" s="440">
        <v>0.51080912351608276</v>
      </c>
      <c r="C16" s="440">
        <v>0.50499415397644043</v>
      </c>
      <c r="D16" s="440">
        <v>0.50560247898101807</v>
      </c>
      <c r="E16" s="440">
        <v>0.50745916366577148</v>
      </c>
      <c r="F16" s="440">
        <v>0.51192742586135864</v>
      </c>
      <c r="G16" s="440">
        <v>0.50596851110458374</v>
      </c>
      <c r="H16" s="440">
        <v>0.50322598218917847</v>
      </c>
      <c r="I16" s="440">
        <v>0.50742226839065552</v>
      </c>
      <c r="J16" s="440">
        <v>0.50465494394302368</v>
      </c>
      <c r="K16" s="440">
        <v>0.5017358660697937</v>
      </c>
      <c r="L16" s="440">
        <v>0.50247389078140259</v>
      </c>
      <c r="M16" s="440">
        <v>0.50136935710906982</v>
      </c>
      <c r="N16" s="440">
        <v>0.49483504891395569</v>
      </c>
      <c r="O16" s="440">
        <v>0.50213539600372314</v>
      </c>
      <c r="P16" s="440">
        <v>0.4947618842124939</v>
      </c>
      <c r="Q16" s="440">
        <v>0.49642601609230042</v>
      </c>
      <c r="R16" s="440">
        <v>0.49953201413154602</v>
      </c>
      <c r="S16" s="440">
        <v>0.52536982297897339</v>
      </c>
      <c r="T16" s="440">
        <v>0.50350004434585571</v>
      </c>
      <c r="U16" s="440">
        <v>0.50324475765228271</v>
      </c>
      <c r="V16" s="440">
        <v>0.50345468521118164</v>
      </c>
      <c r="W16" s="440">
        <v>0.50544452667236328</v>
      </c>
    </row>
    <row r="17" spans="1:23" s="342" customFormat="1" ht="15.5" x14ac:dyDescent="0.35">
      <c r="A17" s="342" t="s">
        <v>555</v>
      </c>
      <c r="B17" s="440">
        <v>1.3827964663505554E-2</v>
      </c>
      <c r="C17" s="440">
        <v>1.1086504906415939E-2</v>
      </c>
      <c r="D17" s="440">
        <v>1.2509597465395927E-2</v>
      </c>
      <c r="E17" s="440">
        <v>1.3341635465621948E-2</v>
      </c>
      <c r="F17" s="440">
        <v>1.2201576493680477E-2</v>
      </c>
      <c r="G17" s="440">
        <v>9.7687840461730957E-3</v>
      </c>
      <c r="H17" s="440">
        <v>8.7457513436675072E-3</v>
      </c>
      <c r="I17" s="440">
        <v>1.2034528888761997E-2</v>
      </c>
      <c r="J17" s="440">
        <v>1.2507995590567589E-2</v>
      </c>
      <c r="K17" s="440">
        <v>1.15427291020751E-2</v>
      </c>
      <c r="L17" s="440">
        <v>1.0503973811864853E-2</v>
      </c>
      <c r="M17" s="440">
        <v>9.8961517214775085E-3</v>
      </c>
      <c r="N17" s="440">
        <v>1.1516422964632511E-2</v>
      </c>
      <c r="O17" s="440">
        <v>1.5085489489138126E-2</v>
      </c>
      <c r="P17" s="440">
        <v>1.1219865642488003E-2</v>
      </c>
      <c r="Q17" s="440">
        <v>1.0836812667548656E-2</v>
      </c>
      <c r="R17" s="440">
        <v>1.0572370141744614E-2</v>
      </c>
      <c r="S17" s="440">
        <v>1.6822872683405876E-2</v>
      </c>
      <c r="T17" s="440">
        <v>1.4458755031228065E-2</v>
      </c>
      <c r="U17" s="440">
        <v>1.4783375896513462E-2</v>
      </c>
      <c r="V17" s="440">
        <v>1.2045491486787796E-2</v>
      </c>
      <c r="W17" s="440">
        <v>1.3510515913367271E-2</v>
      </c>
    </row>
    <row r="18" spans="1:23" s="342" customFormat="1" ht="15.5" x14ac:dyDescent="0.35">
      <c r="A18" s="342" t="s">
        <v>558</v>
      </c>
      <c r="B18" s="440">
        <v>1.3801065506413579E-3</v>
      </c>
      <c r="C18" s="440">
        <v>8.6323783034458756E-4</v>
      </c>
      <c r="D18" s="440">
        <v>1.3277375837787986E-3</v>
      </c>
      <c r="E18" s="440">
        <v>1.478997990489006E-3</v>
      </c>
      <c r="F18" s="440">
        <v>1.4495033537968993E-3</v>
      </c>
      <c r="G18" s="440">
        <v>1.2795981019735336E-3</v>
      </c>
      <c r="H18" s="440">
        <v>1.3502213405445218E-3</v>
      </c>
      <c r="I18" s="440">
        <v>1.0690938215702772E-3</v>
      </c>
      <c r="J18" s="440">
        <v>1.3660878175869584E-3</v>
      </c>
      <c r="K18" s="440">
        <v>1.7716747242957354E-3</v>
      </c>
      <c r="L18" s="440">
        <v>1.1300826445221901E-3</v>
      </c>
      <c r="M18" s="440">
        <v>7.7886378858238459E-4</v>
      </c>
      <c r="N18" s="440">
        <v>1.1302739148959517E-3</v>
      </c>
      <c r="O18" s="440">
        <v>5.6462001521140337E-4</v>
      </c>
      <c r="P18" s="440">
        <v>1.0589319281280041E-3</v>
      </c>
      <c r="Q18" s="440">
        <v>1.0944911045953631E-3</v>
      </c>
      <c r="R18" s="440">
        <v>1.2737795477733016E-3</v>
      </c>
      <c r="S18" s="440">
        <v>3.4733070060610771E-3</v>
      </c>
      <c r="T18" s="440">
        <v>2.2556560579687357E-3</v>
      </c>
      <c r="U18" s="440">
        <v>1.5324882697314024E-3</v>
      </c>
      <c r="V18" s="440">
        <v>1.1923202546313405E-3</v>
      </c>
      <c r="W18" s="440">
        <v>1.2300618691369891E-3</v>
      </c>
    </row>
    <row r="19" spans="1:23" s="342" customFormat="1" ht="15.5" x14ac:dyDescent="0.35">
      <c r="A19" s="342" t="s">
        <v>560</v>
      </c>
      <c r="B19" s="440">
        <v>3.3106005867011845E-4</v>
      </c>
      <c r="C19" s="440">
        <v>2.124197781085968E-4</v>
      </c>
      <c r="D19" s="440">
        <v>1.7895593191497028E-4</v>
      </c>
      <c r="E19" s="440">
        <v>2.5096986792050302E-4</v>
      </c>
      <c r="F19" s="440">
        <v>3.5760775790549815E-4</v>
      </c>
      <c r="G19" s="440">
        <v>2.3103854618966579E-4</v>
      </c>
      <c r="H19" s="440">
        <v>2.1480793657246977E-4</v>
      </c>
      <c r="I19" s="440">
        <v>3.5395674058236182E-4</v>
      </c>
      <c r="J19" s="440">
        <v>1.6977392078842968E-4</v>
      </c>
      <c r="K19" s="440">
        <v>4.0563594666309655E-4</v>
      </c>
      <c r="L19" s="440">
        <v>1.6661474364809692E-4</v>
      </c>
      <c r="M19" s="440">
        <v>3.970678080804646E-4</v>
      </c>
      <c r="N19" s="440">
        <v>5.4545555030927062E-4</v>
      </c>
      <c r="O19" s="440">
        <v>4.9223285168409348E-4</v>
      </c>
      <c r="P19" s="440">
        <v>3.4896621946245432E-4</v>
      </c>
      <c r="Q19" s="440">
        <v>4.99952700920403E-4</v>
      </c>
      <c r="R19" s="440">
        <v>6.0366070829331875E-4</v>
      </c>
      <c r="S19" s="440">
        <v>3.3538546995259821E-4</v>
      </c>
      <c r="T19" s="440">
        <v>2.2932502906769514E-4</v>
      </c>
      <c r="U19" s="440">
        <v>2.4828023742884398E-4</v>
      </c>
      <c r="V19" s="440">
        <v>1.8343387637287378E-4</v>
      </c>
      <c r="W19" s="440">
        <v>1.5627835819032043E-4</v>
      </c>
    </row>
    <row r="20" spans="1:23" s="342" customFormat="1" ht="15.5" x14ac:dyDescent="0.35">
      <c r="A20" s="342" t="s">
        <v>562</v>
      </c>
      <c r="B20" s="440">
        <v>3.6515925079584122E-2</v>
      </c>
      <c r="C20" s="440">
        <v>3.5555455833673477E-2</v>
      </c>
      <c r="D20" s="440">
        <v>3.8902711123228073E-2</v>
      </c>
      <c r="E20" s="440">
        <v>3.5066813230514526E-2</v>
      </c>
      <c r="F20" s="440">
        <v>4.054318368434906E-2</v>
      </c>
      <c r="G20" s="440">
        <v>4.2037166655063629E-2</v>
      </c>
      <c r="H20" s="440">
        <v>3.8389246910810471E-2</v>
      </c>
      <c r="I20" s="440">
        <v>4.3478887528181076E-2</v>
      </c>
      <c r="J20" s="440">
        <v>3.565647080540657E-2</v>
      </c>
      <c r="K20" s="440">
        <v>3.7312541157007217E-2</v>
      </c>
      <c r="L20" s="440">
        <v>3.3866260200738907E-2</v>
      </c>
      <c r="M20" s="440">
        <v>3.8250863552093506E-2</v>
      </c>
      <c r="N20" s="440">
        <v>3.5797629505395889E-2</v>
      </c>
      <c r="O20" s="440">
        <v>3.4977488219738007E-2</v>
      </c>
      <c r="P20" s="440">
        <v>2.9544202610850334E-2</v>
      </c>
      <c r="Q20" s="440">
        <v>3.4712933003902435E-2</v>
      </c>
      <c r="R20" s="440">
        <v>3.5084318369626999E-2</v>
      </c>
      <c r="S20" s="440">
        <v>3.019234910607338E-2</v>
      </c>
      <c r="T20" s="440">
        <v>2.7857352048158646E-2</v>
      </c>
      <c r="U20" s="440">
        <v>3.0716117471456528E-2</v>
      </c>
      <c r="V20" s="440">
        <v>3.5718653351068497E-2</v>
      </c>
      <c r="W20" s="440">
        <v>3.2158054411411285E-2</v>
      </c>
    </row>
    <row r="21" spans="1:23" s="342" customFormat="1" ht="15.5" x14ac:dyDescent="0.35">
      <c r="A21" s="342" t="s">
        <v>564</v>
      </c>
      <c r="B21" s="440">
        <v>6.8974293768405914E-2</v>
      </c>
      <c r="C21" s="440">
        <v>6.3427641987800598E-2</v>
      </c>
      <c r="D21" s="440">
        <v>6.393345445394516E-2</v>
      </c>
      <c r="E21" s="440">
        <v>6.6767565906047821E-2</v>
      </c>
      <c r="F21" s="440">
        <v>6.6553182899951935E-2</v>
      </c>
      <c r="G21" s="440">
        <v>6.5845988690853119E-2</v>
      </c>
      <c r="H21" s="440">
        <v>5.5796362459659576E-2</v>
      </c>
      <c r="I21" s="440">
        <v>7.1448691189289093E-2</v>
      </c>
      <c r="J21" s="440">
        <v>8.0591283738613129E-2</v>
      </c>
      <c r="K21" s="440">
        <v>6.8898461759090424E-2</v>
      </c>
      <c r="L21" s="440">
        <v>6.3730143010616302E-2</v>
      </c>
      <c r="M21" s="440">
        <v>6.323559582233429E-2</v>
      </c>
      <c r="N21" s="440">
        <v>5.3370296955108643E-2</v>
      </c>
      <c r="O21" s="440">
        <v>5.7634677737951279E-2</v>
      </c>
      <c r="P21" s="440">
        <v>5.6012686342000961E-2</v>
      </c>
      <c r="Q21" s="440">
        <v>6.8115174770355225E-2</v>
      </c>
      <c r="R21" s="440">
        <v>5.4213162511587143E-2</v>
      </c>
      <c r="S21" s="440">
        <v>4.7425650060176849E-2</v>
      </c>
      <c r="T21" s="440">
        <v>4.8030436038970947E-2</v>
      </c>
      <c r="U21" s="440">
        <v>4.7464329749345779E-2</v>
      </c>
      <c r="V21" s="440">
        <v>5.5621229112148285E-2</v>
      </c>
      <c r="W21" s="440">
        <v>5.0876166671514511E-2</v>
      </c>
    </row>
    <row r="22" spans="1:23" s="342" customFormat="1" ht="15.5" x14ac:dyDescent="0.35">
      <c r="A22" s="342" t="s">
        <v>538</v>
      </c>
      <c r="B22" s="440">
        <v>6.5032608807086945E-2</v>
      </c>
      <c r="C22" s="440">
        <v>7.5770586729049683E-2</v>
      </c>
      <c r="D22" s="440">
        <v>7.5692586600780487E-2</v>
      </c>
      <c r="E22" s="440">
        <v>6.8422816693782806E-2</v>
      </c>
      <c r="F22" s="440">
        <v>6.6619940102100372E-2</v>
      </c>
      <c r="G22" s="440">
        <v>8.0318480730056763E-2</v>
      </c>
      <c r="H22" s="440">
        <v>7.3602408170700073E-2</v>
      </c>
      <c r="I22" s="440">
        <v>8.569364994764328E-2</v>
      </c>
      <c r="J22" s="440">
        <v>7.9746365547180176E-2</v>
      </c>
      <c r="K22" s="440">
        <v>8.3095714449882507E-2</v>
      </c>
      <c r="L22" s="440">
        <v>6.9471105933189392E-2</v>
      </c>
      <c r="M22" s="440">
        <v>8.3109349012374878E-2</v>
      </c>
      <c r="N22" s="440">
        <v>5.5973861366510391E-2</v>
      </c>
      <c r="O22" s="440">
        <v>6.5177418291568756E-2</v>
      </c>
      <c r="P22" s="440">
        <v>6.2667109072208405E-2</v>
      </c>
      <c r="Q22" s="440">
        <v>8.3059713244438171E-2</v>
      </c>
      <c r="R22" s="440">
        <v>7.6975047588348389E-2</v>
      </c>
      <c r="S22" s="440">
        <v>4.9682993441820145E-2</v>
      </c>
      <c r="T22" s="440">
        <v>5.7778630405664444E-2</v>
      </c>
      <c r="U22" s="440">
        <v>5.3211163729429245E-2</v>
      </c>
      <c r="V22" s="440">
        <v>6.6922791302204132E-2</v>
      </c>
      <c r="W22" s="440">
        <v>6.4144700765609741E-2</v>
      </c>
    </row>
    <row r="23" spans="1:23" s="342" customFormat="1" ht="15.5" x14ac:dyDescent="0.35">
      <c r="A23" s="342" t="s">
        <v>540</v>
      </c>
      <c r="B23" s="440">
        <v>2.436395175755024E-2</v>
      </c>
      <c r="C23" s="440">
        <v>2.6769410818815231E-2</v>
      </c>
      <c r="D23" s="440">
        <v>2.4794057011604309E-2</v>
      </c>
      <c r="E23" s="440">
        <v>2.3091144859790802E-2</v>
      </c>
      <c r="F23" s="440">
        <v>2.866106852889061E-2</v>
      </c>
      <c r="G23" s="440">
        <v>3.3186614513397217E-2</v>
      </c>
      <c r="H23" s="440">
        <v>2.8393005952239037E-2</v>
      </c>
      <c r="I23" s="440">
        <v>3.3048000186681747E-2</v>
      </c>
      <c r="J23" s="440">
        <v>2.9667006805539131E-2</v>
      </c>
      <c r="K23" s="440">
        <v>2.8430307283997536E-2</v>
      </c>
      <c r="L23" s="440">
        <v>2.4488747119903564E-2</v>
      </c>
      <c r="M23" s="440">
        <v>2.9836082831025124E-2</v>
      </c>
      <c r="N23" s="440">
        <v>2.2161241620779037E-2</v>
      </c>
      <c r="O23" s="440">
        <v>2.8115183115005493E-2</v>
      </c>
      <c r="P23" s="440">
        <v>2.4071449413895607E-2</v>
      </c>
      <c r="Q23" s="440">
        <v>3.3456295728683472E-2</v>
      </c>
      <c r="R23" s="440">
        <v>2.727549709379673E-2</v>
      </c>
      <c r="S23" s="440">
        <v>1.8565652891993523E-2</v>
      </c>
      <c r="T23" s="440">
        <v>1.3943714089691639E-2</v>
      </c>
      <c r="U23" s="440">
        <v>1.448372658342123E-2</v>
      </c>
      <c r="V23" s="440">
        <v>2.0554784685373306E-2</v>
      </c>
      <c r="W23" s="440">
        <v>1.7513258382678032E-2</v>
      </c>
    </row>
    <row r="24" spans="1:23" s="342" customFormat="1" ht="15.5" x14ac:dyDescent="0.35">
      <c r="A24" s="342" t="s">
        <v>542</v>
      </c>
      <c r="B24" s="440">
        <v>1.5621895901858807E-2</v>
      </c>
      <c r="C24" s="440">
        <v>1.6600379720330238E-2</v>
      </c>
      <c r="D24" s="440">
        <v>1.6735266894102097E-2</v>
      </c>
      <c r="E24" s="440">
        <v>1.6839886084198952E-2</v>
      </c>
      <c r="F24" s="440">
        <v>1.8938906490802765E-2</v>
      </c>
      <c r="G24" s="440">
        <v>1.7582625150680542E-2</v>
      </c>
      <c r="H24" s="440">
        <v>1.766028068959713E-2</v>
      </c>
      <c r="I24" s="440">
        <v>1.9445950165390968E-2</v>
      </c>
      <c r="J24" s="440">
        <v>1.9468726590275764E-2</v>
      </c>
      <c r="K24" s="440">
        <v>1.9732996821403503E-2</v>
      </c>
      <c r="L24" s="440">
        <v>1.739313080906868E-2</v>
      </c>
      <c r="M24" s="440">
        <v>1.4599877409636974E-2</v>
      </c>
      <c r="N24" s="440">
        <v>8.9522190392017365E-3</v>
      </c>
      <c r="O24" s="440">
        <v>1.3912816531956196E-2</v>
      </c>
      <c r="P24" s="440">
        <v>1.3761302456259727E-2</v>
      </c>
      <c r="Q24" s="440">
        <v>1.8173957243561745E-2</v>
      </c>
      <c r="R24" s="440">
        <v>1.6647744923830032E-2</v>
      </c>
      <c r="S24" s="440">
        <v>1.6590094193816185E-2</v>
      </c>
      <c r="T24" s="440">
        <v>1.6616666689515114E-2</v>
      </c>
      <c r="U24" s="440">
        <v>1.2726502493023872E-2</v>
      </c>
      <c r="V24" s="440">
        <v>1.5877220779657364E-2</v>
      </c>
      <c r="W24" s="440">
        <v>1.4317113906145096E-2</v>
      </c>
    </row>
    <row r="25" spans="1:23" s="342" customFormat="1" ht="15.5" x14ac:dyDescent="0.35">
      <c r="A25" s="342" t="s">
        <v>569</v>
      </c>
      <c r="B25" s="440">
        <v>1.3780375011265278E-3</v>
      </c>
      <c r="C25" s="440">
        <v>1.0937359184026718E-3</v>
      </c>
      <c r="D25" s="440">
        <v>7.6777872163802385E-4</v>
      </c>
      <c r="E25" s="440">
        <v>1.2491019442677498E-3</v>
      </c>
      <c r="F25" s="440">
        <v>7.4382411548867822E-4</v>
      </c>
      <c r="G25" s="440">
        <v>8.7676168186590075E-4</v>
      </c>
      <c r="H25" s="440">
        <v>7.2881265077739954E-4</v>
      </c>
      <c r="I25" s="440">
        <v>8.5960922297090292E-4</v>
      </c>
      <c r="J25" s="440">
        <v>1.4805865939706564E-3</v>
      </c>
      <c r="K25" s="440">
        <v>1.1095335939899087E-3</v>
      </c>
      <c r="L25" s="440">
        <v>8.8016054360195994E-4</v>
      </c>
      <c r="M25" s="440">
        <v>7.3304824763908982E-4</v>
      </c>
      <c r="N25" s="440">
        <v>3.0927892657928169E-4</v>
      </c>
      <c r="O25" s="440">
        <v>6.9491699105128646E-4</v>
      </c>
      <c r="P25" s="440">
        <v>8.5436558583751321E-4</v>
      </c>
      <c r="Q25" s="440">
        <v>9.0531975729390979E-4</v>
      </c>
      <c r="R25" s="440">
        <v>7.0334784686565399E-4</v>
      </c>
      <c r="S25" s="440">
        <v>1.2894729152321815E-3</v>
      </c>
      <c r="T25" s="440">
        <v>1.2368514435365796E-3</v>
      </c>
      <c r="U25" s="440">
        <v>7.5768277747556567E-4</v>
      </c>
      <c r="V25" s="440">
        <v>9.4774173339828849E-4</v>
      </c>
      <c r="W25" s="440">
        <v>7.0577324368059635E-4</v>
      </c>
    </row>
    <row r="26" spans="1:23" s="342" customFormat="1" ht="15.5" x14ac:dyDescent="0.35">
      <c r="A26" s="342" t="s">
        <v>572</v>
      </c>
      <c r="B26" s="440">
        <v>6.7970766685903072E-3</v>
      </c>
      <c r="C26" s="440">
        <v>4.9670073203742504E-3</v>
      </c>
      <c r="D26" s="440">
        <v>7.4295578524470329E-3</v>
      </c>
      <c r="E26" s="440">
        <v>5.6343693286180496E-3</v>
      </c>
      <c r="F26" s="440">
        <v>6.5990551374852657E-3</v>
      </c>
      <c r="G26" s="440">
        <v>4.7333282418549061E-3</v>
      </c>
      <c r="H26" s="440">
        <v>3.5826894454658031E-3</v>
      </c>
      <c r="I26" s="440">
        <v>6.5662586130201817E-3</v>
      </c>
      <c r="J26" s="440">
        <v>6.9094039499759674E-3</v>
      </c>
      <c r="K26" s="440">
        <v>8.2916757091879845E-3</v>
      </c>
      <c r="L26" s="440">
        <v>5.961910355836153E-3</v>
      </c>
      <c r="M26" s="440">
        <v>4.403380211442709E-3</v>
      </c>
      <c r="N26" s="440">
        <v>3.3739518839865923E-3</v>
      </c>
      <c r="O26" s="440">
        <v>4.7920318320393562E-3</v>
      </c>
      <c r="P26" s="440">
        <v>5.4366528056561947E-3</v>
      </c>
      <c r="Q26" s="440">
        <v>6.1480673030018806E-3</v>
      </c>
      <c r="R26" s="440">
        <v>6.573809776455164E-3</v>
      </c>
      <c r="S26" s="440">
        <v>4.6785506419837475E-3</v>
      </c>
      <c r="T26" s="440">
        <v>6.263204850256443E-3</v>
      </c>
      <c r="U26" s="440">
        <v>5.395814310759306E-3</v>
      </c>
      <c r="V26" s="440">
        <v>9.9971462041139603E-3</v>
      </c>
      <c r="W26" s="440">
        <v>6.5888972021639347E-3</v>
      </c>
    </row>
    <row r="27" spans="1:23" s="342" customFormat="1" ht="15.5" x14ac:dyDescent="0.35">
      <c r="A27" s="342" t="s">
        <v>544</v>
      </c>
      <c r="B27" s="440">
        <v>2.0173972472548485E-2</v>
      </c>
      <c r="C27" s="440">
        <v>2.1395642310380936E-2</v>
      </c>
      <c r="D27" s="440">
        <v>1.9587015733122826E-2</v>
      </c>
      <c r="E27" s="440">
        <v>1.9686765968799591E-2</v>
      </c>
      <c r="F27" s="440">
        <v>2.4021703749895096E-2</v>
      </c>
      <c r="G27" s="440">
        <v>2.3601476103067398E-2</v>
      </c>
      <c r="H27" s="440">
        <v>2.3659560829401016E-2</v>
      </c>
      <c r="I27" s="440">
        <v>2.7659190818667412E-2</v>
      </c>
      <c r="J27" s="440">
        <v>2.8375934809446335E-2</v>
      </c>
      <c r="K27" s="440">
        <v>2.998126856982708E-2</v>
      </c>
      <c r="L27" s="440">
        <v>2.3097874596714973E-2</v>
      </c>
      <c r="M27" s="440">
        <v>2.4343311786651611E-2</v>
      </c>
      <c r="N27" s="440">
        <v>1.7274634912610054E-2</v>
      </c>
      <c r="O27" s="440">
        <v>2.1151535212993622E-2</v>
      </c>
      <c r="P27" s="440">
        <v>2.2925877943634987E-2</v>
      </c>
      <c r="Q27" s="440">
        <v>2.5578660890460014E-2</v>
      </c>
      <c r="R27" s="440">
        <v>2.2246835753321648E-2</v>
      </c>
      <c r="S27" s="440">
        <v>2.1483046934008598E-2</v>
      </c>
      <c r="T27" s="440">
        <v>1.8368558958172798E-2</v>
      </c>
      <c r="U27" s="440">
        <v>1.6324425116181374E-2</v>
      </c>
      <c r="V27" s="440">
        <v>1.6111608594655991E-2</v>
      </c>
      <c r="W27" s="440">
        <v>1.8052671104669571E-2</v>
      </c>
    </row>
    <row r="28" spans="1:23" s="342" customFormat="1" ht="15.5" x14ac:dyDescent="0.35">
      <c r="A28" s="342" t="s">
        <v>546</v>
      </c>
      <c r="B28" s="440">
        <v>6.0966778546571732E-2</v>
      </c>
      <c r="C28" s="440">
        <v>5.0271175801753998E-2</v>
      </c>
      <c r="D28" s="440">
        <v>5.6734804064035416E-2</v>
      </c>
      <c r="E28" s="440">
        <v>6.0052685439586639E-2</v>
      </c>
      <c r="F28" s="440">
        <v>5.479981005191803E-2</v>
      </c>
      <c r="G28" s="440">
        <v>5.0721846520900726E-2</v>
      </c>
      <c r="H28" s="440">
        <v>4.6145349740982056E-2</v>
      </c>
      <c r="I28" s="440">
        <v>5.1858272403478622E-2</v>
      </c>
      <c r="J28" s="440">
        <v>6.2761075794696808E-2</v>
      </c>
      <c r="K28" s="440">
        <v>5.5822666734457016E-2</v>
      </c>
      <c r="L28" s="440">
        <v>6.4447313547134399E-2</v>
      </c>
      <c r="M28" s="440">
        <v>6.0471389442682266E-2</v>
      </c>
      <c r="N28" s="440">
        <v>5.0063822418451309E-2</v>
      </c>
      <c r="O28" s="440">
        <v>6.2701776623725891E-2</v>
      </c>
      <c r="P28" s="440">
        <v>5.0862427800893784E-2</v>
      </c>
      <c r="Q28" s="440">
        <v>4.9549367278814316E-2</v>
      </c>
      <c r="R28" s="440">
        <v>5.3338132798671722E-2</v>
      </c>
      <c r="S28" s="440">
        <v>6.0271371155977249E-2</v>
      </c>
      <c r="T28" s="440">
        <v>5.9951577335596085E-2</v>
      </c>
      <c r="U28" s="440">
        <v>4.9146644771099091E-2</v>
      </c>
      <c r="V28" s="440">
        <v>5.4214902222156525E-2</v>
      </c>
      <c r="W28" s="440">
        <v>5.4641969501972198E-2</v>
      </c>
    </row>
    <row r="29" spans="1:23" s="342" customFormat="1" ht="15.5" x14ac:dyDescent="0.35">
      <c r="A29" s="342" t="s">
        <v>578</v>
      </c>
      <c r="B29" s="440">
        <v>1.3180328533053398E-3</v>
      </c>
      <c r="C29" s="440">
        <v>1.134412013925612E-3</v>
      </c>
      <c r="D29" s="440">
        <v>1.0506445541977882E-3</v>
      </c>
      <c r="E29" s="440">
        <v>1.5268930001184344E-3</v>
      </c>
      <c r="F29" s="440">
        <v>1.602082746103406E-3</v>
      </c>
      <c r="G29" s="440">
        <v>8.8268570834770799E-4</v>
      </c>
      <c r="H29" s="440">
        <v>9.282771497964859E-4</v>
      </c>
      <c r="I29" s="440">
        <v>9.3906885012984276E-4</v>
      </c>
      <c r="J29" s="440">
        <v>1.2121069012209773E-3</v>
      </c>
      <c r="K29" s="440">
        <v>1.2825254816561937E-3</v>
      </c>
      <c r="L29" s="440">
        <v>1.1880355887115002E-3</v>
      </c>
      <c r="M29" s="440">
        <v>1.3490123674273491E-3</v>
      </c>
      <c r="N29" s="440">
        <v>1.4226831262931228E-3</v>
      </c>
      <c r="O29" s="440">
        <v>1.6504278173670173E-3</v>
      </c>
      <c r="P29" s="440">
        <v>9.4581878511235118E-4</v>
      </c>
      <c r="Q29" s="440">
        <v>8.5127080092206597E-4</v>
      </c>
      <c r="R29" s="440">
        <v>9.4148924108594656E-4</v>
      </c>
      <c r="S29" s="440">
        <v>1.8867346225306392E-3</v>
      </c>
      <c r="T29" s="440">
        <v>1.3045211089774966E-3</v>
      </c>
      <c r="U29" s="440">
        <v>1.6480670310556889E-3</v>
      </c>
      <c r="V29" s="440">
        <v>1.2025110190734267E-3</v>
      </c>
      <c r="W29" s="440">
        <v>1.2098969891667366E-3</v>
      </c>
    </row>
    <row r="30" spans="1:23" s="342" customFormat="1" ht="15.5" x14ac:dyDescent="0.35">
      <c r="A30" s="342" t="s">
        <v>581</v>
      </c>
      <c r="B30" s="440">
        <v>1.0035257786512375E-2</v>
      </c>
      <c r="C30" s="440">
        <v>7.439211942255497E-3</v>
      </c>
      <c r="D30" s="440">
        <v>1.0668083094060421E-2</v>
      </c>
      <c r="E30" s="440">
        <v>1.1523540131747723E-2</v>
      </c>
      <c r="F30" s="440">
        <v>1.1472056619822979E-2</v>
      </c>
      <c r="G30" s="440">
        <v>9.508124552667141E-3</v>
      </c>
      <c r="H30" s="440">
        <v>9.4285337254405022E-3</v>
      </c>
      <c r="I30" s="440">
        <v>1.1507205665111542E-2</v>
      </c>
      <c r="J30" s="440">
        <v>1.1603849940001965E-2</v>
      </c>
      <c r="K30" s="440">
        <v>1.0683734901249409E-2</v>
      </c>
      <c r="L30" s="440">
        <v>1.3166187331080437E-2</v>
      </c>
      <c r="M30" s="440">
        <v>1.1530238203704357E-2</v>
      </c>
      <c r="N30" s="440">
        <v>7.7994521707296371E-3</v>
      </c>
      <c r="O30" s="440">
        <v>1.0554051958024502E-2</v>
      </c>
      <c r="P30" s="440">
        <v>1.0902185924351215E-2</v>
      </c>
      <c r="Q30" s="440">
        <v>1.0066615417599678E-2</v>
      </c>
      <c r="R30" s="440">
        <v>9.78041160851717E-3</v>
      </c>
      <c r="S30" s="440">
        <v>1.2389353476464748E-2</v>
      </c>
      <c r="T30" s="440">
        <v>1.1522643268108368E-2</v>
      </c>
      <c r="U30" s="440">
        <v>1.2944817543029785E-2</v>
      </c>
      <c r="V30" s="440">
        <v>1.0730882175266743E-2</v>
      </c>
      <c r="W30" s="440">
        <v>9.7043821588158607E-3</v>
      </c>
    </row>
    <row r="31" spans="1:23" s="342" customFormat="1" ht="15.5" x14ac:dyDescent="0.35">
      <c r="A31" s="342" t="s">
        <v>583</v>
      </c>
      <c r="B31" s="440">
        <v>5.601122509688139E-3</v>
      </c>
      <c r="C31" s="440">
        <v>5.5771488696336746E-3</v>
      </c>
      <c r="D31" s="440">
        <v>6.0210013762116432E-3</v>
      </c>
      <c r="E31" s="440">
        <v>5.597969051450491E-3</v>
      </c>
      <c r="F31" s="440">
        <v>5.9792017564177513E-3</v>
      </c>
      <c r="G31" s="440">
        <v>7.1562710218131542E-3</v>
      </c>
      <c r="H31" s="440">
        <v>6.160384975373745E-3</v>
      </c>
      <c r="I31" s="440">
        <v>5.7355435565114021E-3</v>
      </c>
      <c r="J31" s="440">
        <v>7.4779489077627659E-3</v>
      </c>
      <c r="K31" s="440">
        <v>5.4581896401941776E-3</v>
      </c>
      <c r="L31" s="440">
        <v>6.1575016006827354E-3</v>
      </c>
      <c r="M31" s="440">
        <v>6.9843209348618984E-3</v>
      </c>
      <c r="N31" s="440">
        <v>3.6438680253922939E-3</v>
      </c>
      <c r="O31" s="440">
        <v>4.5748702250421047E-3</v>
      </c>
      <c r="P31" s="440">
        <v>7.0467111654579639E-3</v>
      </c>
      <c r="Q31" s="440">
        <v>6.9047524593770504E-3</v>
      </c>
      <c r="R31" s="440">
        <v>6.5184282138943672E-3</v>
      </c>
      <c r="S31" s="440">
        <v>6.1272932216525078E-3</v>
      </c>
      <c r="T31" s="440">
        <v>5.1391362212598324E-3</v>
      </c>
      <c r="U31" s="440">
        <v>4.2657111771404743E-3</v>
      </c>
      <c r="V31" s="440">
        <v>5.7475948706269264E-3</v>
      </c>
      <c r="W31" s="440">
        <v>4.6833097003400326E-3</v>
      </c>
    </row>
    <row r="32" spans="1:23" s="342" customFormat="1" ht="15.5" x14ac:dyDescent="0.35">
      <c r="A32" s="342" t="s">
        <v>585</v>
      </c>
      <c r="B32" s="440">
        <v>1.5083923935890198E-3</v>
      </c>
      <c r="C32" s="440">
        <v>1.7038778169080615E-3</v>
      </c>
      <c r="D32" s="440">
        <v>2.6554751675575972E-3</v>
      </c>
      <c r="E32" s="440">
        <v>1.1686383513733745E-3</v>
      </c>
      <c r="F32" s="440">
        <v>2.1075017284601927E-3</v>
      </c>
      <c r="G32" s="440">
        <v>3.5188947804272175E-3</v>
      </c>
      <c r="H32" s="440">
        <v>4.2424569837749004E-3</v>
      </c>
      <c r="I32" s="440">
        <v>2.636616351082921E-3</v>
      </c>
      <c r="J32" s="440">
        <v>3.3362549729645252E-3</v>
      </c>
      <c r="K32" s="440">
        <v>3.9251241832971573E-3</v>
      </c>
      <c r="L32" s="440">
        <v>1.7422107048332691E-3</v>
      </c>
      <c r="M32" s="440">
        <v>2.4842191487550735E-3</v>
      </c>
      <c r="N32" s="440">
        <v>1.9850083626806736E-3</v>
      </c>
      <c r="O32" s="440">
        <v>1.896544243209064E-3</v>
      </c>
      <c r="P32" s="440">
        <v>2.0336306188255548E-3</v>
      </c>
      <c r="Q32" s="440">
        <v>3.2294243574142456E-3</v>
      </c>
      <c r="R32" s="440">
        <v>2.22634500823915E-3</v>
      </c>
      <c r="S32" s="440">
        <v>2.0751019474118948E-3</v>
      </c>
      <c r="T32" s="440">
        <v>3.2669417560100555E-3</v>
      </c>
      <c r="U32" s="440">
        <v>2.0868382416665554E-3</v>
      </c>
      <c r="V32" s="440">
        <v>2.7005544397979975E-3</v>
      </c>
      <c r="W32" s="440">
        <v>3.0499484855681658E-3</v>
      </c>
    </row>
    <row r="33" spans="1:23" s="342" customFormat="1" ht="15.5" x14ac:dyDescent="0.35">
      <c r="A33" s="342" t="s">
        <v>554</v>
      </c>
      <c r="B33" s="440">
        <v>2.8884990606456995E-3</v>
      </c>
      <c r="C33" s="440">
        <v>2.4224894586950541E-3</v>
      </c>
      <c r="D33" s="440">
        <v>2.5688835885375738E-3</v>
      </c>
      <c r="E33" s="440">
        <v>2.8928588144481182E-3</v>
      </c>
      <c r="F33" s="440">
        <v>2.2791533265262842E-3</v>
      </c>
      <c r="G33" s="440">
        <v>2.2037522867321968E-3</v>
      </c>
      <c r="H33" s="440">
        <v>2.2938419133424759E-3</v>
      </c>
      <c r="I33" s="440">
        <v>2.557156840339303E-3</v>
      </c>
      <c r="J33" s="440">
        <v>2.0728211384266615E-3</v>
      </c>
      <c r="K33" s="440">
        <v>2.5053985882550478E-3</v>
      </c>
      <c r="L33" s="440">
        <v>2.3652049712836742E-3</v>
      </c>
      <c r="M33" s="440">
        <v>2.0718793384730816E-3</v>
      </c>
      <c r="N33" s="440">
        <v>2.2717942483723164E-3</v>
      </c>
      <c r="O33" s="440">
        <v>2.1716156043112278E-3</v>
      </c>
      <c r="P33" s="440">
        <v>2.3152104113250971E-3</v>
      </c>
      <c r="Q33" s="440">
        <v>1.7430783482268453E-3</v>
      </c>
      <c r="R33" s="440">
        <v>3.2398304902017117E-3</v>
      </c>
      <c r="S33" s="440">
        <v>2.0950105972588062E-3</v>
      </c>
      <c r="T33" s="440">
        <v>2.4586650542914867E-3</v>
      </c>
      <c r="U33" s="440">
        <v>2.1446275059133768E-3</v>
      </c>
      <c r="V33" s="440">
        <v>1.9362465245649219E-3</v>
      </c>
      <c r="W33" s="440">
        <v>2.2786392364650965E-3</v>
      </c>
    </row>
    <row r="34" spans="1:23" s="342" customFormat="1" ht="15.5" x14ac:dyDescent="0.35">
      <c r="A34" s="342" t="s">
        <v>557</v>
      </c>
      <c r="B34" s="440">
        <v>7.0536481216549873E-3</v>
      </c>
      <c r="C34" s="440">
        <v>7.1951551362872124E-3</v>
      </c>
      <c r="D34" s="440">
        <v>6.1191385611891747E-3</v>
      </c>
      <c r="E34" s="440">
        <v>6.6554909572005272E-3</v>
      </c>
      <c r="F34" s="440">
        <v>5.8075496926903725E-3</v>
      </c>
      <c r="G34" s="440">
        <v>5.8885207399725914E-3</v>
      </c>
      <c r="H34" s="440">
        <v>6.3598491251468658E-3</v>
      </c>
      <c r="I34" s="440">
        <v>8.4588434547185898E-3</v>
      </c>
      <c r="J34" s="440">
        <v>6.2105669640004635E-3</v>
      </c>
      <c r="K34" s="440">
        <v>1.054653525352478E-2</v>
      </c>
      <c r="L34" s="440">
        <v>5.9438003227114677E-3</v>
      </c>
      <c r="M34" s="440">
        <v>4.841173067688942E-3</v>
      </c>
      <c r="N34" s="440">
        <v>4.3748910538852215E-3</v>
      </c>
      <c r="O34" s="440">
        <v>6.1239558272063732E-3</v>
      </c>
      <c r="P34" s="440">
        <v>4.7026206739246845E-3</v>
      </c>
      <c r="Q34" s="440">
        <v>5.3103086538612843E-3</v>
      </c>
      <c r="R34" s="440">
        <v>7.1719326078891754E-3</v>
      </c>
      <c r="S34" s="440">
        <v>5.9098289348185062E-3</v>
      </c>
      <c r="T34" s="440">
        <v>6.9962930865585804E-3</v>
      </c>
      <c r="U34" s="440">
        <v>5.1175691187381744E-3</v>
      </c>
      <c r="V34" s="440">
        <v>5.9717921540141106E-3</v>
      </c>
      <c r="W34" s="440">
        <v>6.2813814729452133E-3</v>
      </c>
    </row>
    <row r="35" spans="1:23" s="342" customFormat="1" ht="15.5" x14ac:dyDescent="0.35">
      <c r="A35" s="342" t="s">
        <v>548</v>
      </c>
      <c r="B35" s="440">
        <v>4.3534399010241032E-3</v>
      </c>
      <c r="C35" s="440">
        <v>4.5376480557024479E-3</v>
      </c>
      <c r="D35" s="440">
        <v>3.9254850707948208E-3</v>
      </c>
      <c r="E35" s="440">
        <v>3.8066958077251911E-3</v>
      </c>
      <c r="F35" s="440">
        <v>3.8049463182687759E-3</v>
      </c>
      <c r="G35" s="440">
        <v>3.5959077067673206E-3</v>
      </c>
      <c r="H35" s="440">
        <v>3.3218513708561659E-3</v>
      </c>
      <c r="I35" s="440">
        <v>5.2154441364109516E-3</v>
      </c>
      <c r="J35" s="440">
        <v>4.2285551317036152E-3</v>
      </c>
      <c r="K35" s="440">
        <v>4.193559754639864E-3</v>
      </c>
      <c r="L35" s="440">
        <v>3.3033185172826052E-3</v>
      </c>
      <c r="M35" s="440">
        <v>4.3015680275857449E-3</v>
      </c>
      <c r="N35" s="440">
        <v>3.8969144225120544E-3</v>
      </c>
      <c r="O35" s="440">
        <v>3.6627915687859058E-3</v>
      </c>
      <c r="P35" s="440">
        <v>3.4439356531947851E-3</v>
      </c>
      <c r="Q35" s="440">
        <v>4.7968435101211071E-3</v>
      </c>
      <c r="R35" s="440">
        <v>4.3031596578657627E-3</v>
      </c>
      <c r="S35" s="440">
        <v>3.177738981321454E-3</v>
      </c>
      <c r="T35" s="440">
        <v>3.1391214579343796E-3</v>
      </c>
      <c r="U35" s="440">
        <v>3.1206256244331598E-3</v>
      </c>
      <c r="V35" s="440">
        <v>3.3833361230790615E-3</v>
      </c>
      <c r="W35" s="440">
        <v>3.5591134801506996E-3</v>
      </c>
    </row>
    <row r="36" spans="1:23" s="342" customFormat="1" ht="15.5" x14ac:dyDescent="0.35">
      <c r="A36" s="342" t="s">
        <v>550</v>
      </c>
      <c r="B36" s="440">
        <v>9.5593591686338186E-4</v>
      </c>
      <c r="C36" s="440">
        <v>6.9149414775893092E-4</v>
      </c>
      <c r="D36" s="440">
        <v>7.2159653063863516E-4</v>
      </c>
      <c r="E36" s="440">
        <v>4.6362372813746333E-4</v>
      </c>
      <c r="F36" s="440">
        <v>7.1521551581099629E-4</v>
      </c>
      <c r="G36" s="440">
        <v>5.805583787150681E-4</v>
      </c>
      <c r="H36" s="440">
        <v>5.2934815175831318E-4</v>
      </c>
      <c r="I36" s="440">
        <v>6.2845379579812288E-4</v>
      </c>
      <c r="J36" s="440">
        <v>6.4750987803563476E-4</v>
      </c>
      <c r="K36" s="440">
        <v>7.038976764306426E-4</v>
      </c>
      <c r="L36" s="440">
        <v>6.9905753480270505E-4</v>
      </c>
      <c r="M36" s="440">
        <v>5.6505802785977721E-4</v>
      </c>
      <c r="N36" s="440">
        <v>5.2296253852546215E-4</v>
      </c>
      <c r="O36" s="440">
        <v>5.6462001521140337E-4</v>
      </c>
      <c r="P36" s="440">
        <v>7.7494565630331635E-4</v>
      </c>
      <c r="Q36" s="440">
        <v>6.8912399001419544E-4</v>
      </c>
      <c r="R36" s="440">
        <v>7.3657685425132513E-4</v>
      </c>
      <c r="S36" s="440">
        <v>4.9924961058422923E-4</v>
      </c>
      <c r="T36" s="440">
        <v>4.8872549086809158E-4</v>
      </c>
      <c r="U36" s="440">
        <v>5.3936737822368741E-4</v>
      </c>
      <c r="V36" s="440">
        <v>4.4839392649009824E-4</v>
      </c>
      <c r="W36" s="440">
        <v>5.8982474729418755E-4</v>
      </c>
    </row>
    <row r="37" spans="1:23" s="342" customFormat="1" ht="15.5" x14ac:dyDescent="0.35">
      <c r="A37" s="342" t="s">
        <v>553</v>
      </c>
      <c r="B37" s="440">
        <v>3.4099186304956675E-3</v>
      </c>
      <c r="C37" s="440">
        <v>3.2721685711294413E-3</v>
      </c>
      <c r="D37" s="440">
        <v>3.7811656948179007E-3</v>
      </c>
      <c r="E37" s="440">
        <v>3.0269648414105177E-3</v>
      </c>
      <c r="F37" s="440">
        <v>4.2960611172020435E-3</v>
      </c>
      <c r="G37" s="440">
        <v>3.9987443014979362E-3</v>
      </c>
      <c r="H37" s="440">
        <v>4.5186383649706841E-3</v>
      </c>
      <c r="I37" s="440">
        <v>5.3021274507045746E-3</v>
      </c>
      <c r="J37" s="440">
        <v>4.5878440141677856E-3</v>
      </c>
      <c r="K37" s="440">
        <v>5.3150239400565624E-3</v>
      </c>
      <c r="L37" s="440">
        <v>3.310562577098608E-3</v>
      </c>
      <c r="M37" s="440">
        <v>4.2150276713073254E-3</v>
      </c>
      <c r="N37" s="440">
        <v>3.6045054439455271E-3</v>
      </c>
      <c r="O37" s="440">
        <v>3.8509981241077185E-3</v>
      </c>
      <c r="P37" s="440">
        <v>3.6485020536929369E-3</v>
      </c>
      <c r="Q37" s="440">
        <v>4.6346965245902538E-3</v>
      </c>
      <c r="R37" s="440">
        <v>3.815800417214632E-3</v>
      </c>
      <c r="S37" s="440">
        <v>2.5866029318422079E-3</v>
      </c>
      <c r="T37" s="440">
        <v>2.2556560579687357E-3</v>
      </c>
      <c r="U37" s="440">
        <v>2.448556711897254E-3</v>
      </c>
      <c r="V37" s="440">
        <v>3.4852437674999237E-3</v>
      </c>
      <c r="W37" s="440">
        <v>3.0045774765312672E-3</v>
      </c>
    </row>
    <row r="38" spans="1:23" s="342" customFormat="1" ht="15.5" x14ac:dyDescent="0.35">
      <c r="A38" s="342" t="s">
        <v>556</v>
      </c>
      <c r="B38" s="440">
        <v>1.3149291276931763E-2</v>
      </c>
      <c r="C38" s="440">
        <v>1.4412907883524895E-2</v>
      </c>
      <c r="D38" s="440">
        <v>1.3190784491598606E-2</v>
      </c>
      <c r="E38" s="440">
        <v>1.0920063592493534E-2</v>
      </c>
      <c r="F38" s="440">
        <v>1.4604700729250908E-2</v>
      </c>
      <c r="G38" s="440">
        <v>1.3471324928104877E-2</v>
      </c>
      <c r="H38" s="440">
        <v>1.3118627481162548E-2</v>
      </c>
      <c r="I38" s="440">
        <v>1.5956947579979897E-2</v>
      </c>
      <c r="J38" s="440">
        <v>1.5702113509178162E-2</v>
      </c>
      <c r="K38" s="440">
        <v>1.5962967649102211E-2</v>
      </c>
      <c r="L38" s="440">
        <v>1.3944930396974087E-2</v>
      </c>
      <c r="M38" s="440">
        <v>1.5266748145222664E-2</v>
      </c>
      <c r="N38" s="440">
        <v>1.1567031964659691E-2</v>
      </c>
      <c r="O38" s="440">
        <v>1.5563244931399822E-2</v>
      </c>
      <c r="P38" s="440">
        <v>1.4038068242371082E-2</v>
      </c>
      <c r="Q38" s="440">
        <v>1.8484737724065781E-2</v>
      </c>
      <c r="R38" s="440">
        <v>1.6276687383651733E-2</v>
      </c>
      <c r="S38" s="440">
        <v>1.1092223227024078E-2</v>
      </c>
      <c r="T38" s="440">
        <v>1.0586545802652836E-2</v>
      </c>
      <c r="U38" s="440">
        <v>1.0134542360901833E-2</v>
      </c>
      <c r="V38" s="440">
        <v>1.1709196493029594E-2</v>
      </c>
      <c r="W38" s="440">
        <v>1.1998144909739494E-2</v>
      </c>
    </row>
    <row r="39" spans="1:23" s="342" customFormat="1" ht="15.5" x14ac:dyDescent="0.35">
      <c r="A39" s="342" t="s">
        <v>590</v>
      </c>
      <c r="B39" s="440">
        <v>2.2336207330226898E-2</v>
      </c>
      <c r="C39" s="440">
        <v>2.3881405591964722E-2</v>
      </c>
      <c r="D39" s="440">
        <v>1.6614038497209549E-2</v>
      </c>
      <c r="E39" s="440">
        <v>2.0483739674091339E-2</v>
      </c>
      <c r="F39" s="440">
        <v>1.9224992021918297E-2</v>
      </c>
      <c r="G39" s="440">
        <v>1.2245043180882931E-2</v>
      </c>
      <c r="H39" s="440">
        <v>1.3824425637722015E-2</v>
      </c>
      <c r="I39" s="440">
        <v>1.8095135688781738E-2</v>
      </c>
      <c r="J39" s="440">
        <v>1.662600040435791E-2</v>
      </c>
      <c r="K39" s="440">
        <v>1.6786171123385429E-2</v>
      </c>
      <c r="L39" s="440">
        <v>1.590808667242527E-2</v>
      </c>
      <c r="M39" s="440">
        <v>2.434840239584446E-2</v>
      </c>
      <c r="N39" s="440">
        <v>1.7865074798464775E-2</v>
      </c>
      <c r="O39" s="440">
        <v>1.6533233225345612E-2</v>
      </c>
      <c r="P39" s="440">
        <v>9.8071536049246788E-3</v>
      </c>
      <c r="Q39" s="440">
        <v>1.3633845373988152E-2</v>
      </c>
      <c r="R39" s="440">
        <v>1.5163514763116837E-2</v>
      </c>
      <c r="S39" s="440">
        <v>1.1381665244698524E-2</v>
      </c>
      <c r="T39" s="440">
        <v>1.5590342693030834E-2</v>
      </c>
      <c r="U39" s="440">
        <v>1.3747448101639748E-2</v>
      </c>
      <c r="V39" s="440">
        <v>1.4205935411155224E-2</v>
      </c>
      <c r="W39" s="440">
        <v>1.8511423841118813E-2</v>
      </c>
    </row>
    <row r="40" spans="1:23" s="342" customFormat="1" ht="15.5" x14ac:dyDescent="0.35">
      <c r="A40" s="342" t="s">
        <v>591</v>
      </c>
      <c r="B40" s="440">
        <v>0.19418327510356903</v>
      </c>
      <c r="C40" s="440">
        <v>0.17801681160926819</v>
      </c>
      <c r="D40" s="440">
        <v>0.18366651237010956</v>
      </c>
      <c r="E40" s="440">
        <v>0.19990229606628418</v>
      </c>
      <c r="F40" s="440">
        <v>0.15323729813098907</v>
      </c>
      <c r="G40" s="440">
        <v>0.1738416999578476</v>
      </c>
      <c r="H40" s="440">
        <v>0.15110203623771667</v>
      </c>
      <c r="I40" s="440">
        <v>0.16465489566326141</v>
      </c>
      <c r="J40" s="440">
        <v>0.20863240957260132</v>
      </c>
      <c r="K40" s="440">
        <v>0.16573211550712585</v>
      </c>
      <c r="L40" s="440">
        <v>0.18814064562320709</v>
      </c>
      <c r="M40" s="440">
        <v>0.16431988775730133</v>
      </c>
      <c r="N40" s="440">
        <v>0.13128609955310822</v>
      </c>
      <c r="O40" s="440">
        <v>0.17048630118370056</v>
      </c>
      <c r="P40" s="440">
        <v>0.17637956142425537</v>
      </c>
      <c r="Q40" s="440">
        <v>0.17156484723091125</v>
      </c>
      <c r="R40" s="440">
        <v>0.1566416472196579</v>
      </c>
      <c r="S40" s="440">
        <v>0.19127078354358673</v>
      </c>
      <c r="T40" s="440">
        <v>0.20153534412384033</v>
      </c>
      <c r="U40" s="440">
        <v>0.19135770201683044</v>
      </c>
      <c r="V40" s="440">
        <v>0.16947253048419952</v>
      </c>
      <c r="W40" s="440">
        <v>0.20693774521350861</v>
      </c>
    </row>
    <row r="41" spans="1:23" s="342" customFormat="1" ht="15.5" x14ac:dyDescent="0.35">
      <c r="A41" s="342" t="s">
        <v>592</v>
      </c>
      <c r="B41" s="440">
        <v>8.5496259853243828E-3</v>
      </c>
      <c r="C41" s="440">
        <v>8.8131614029407501E-3</v>
      </c>
      <c r="D41" s="440">
        <v>9.3692094087600708E-3</v>
      </c>
      <c r="E41" s="440">
        <v>9.5445187762379646E-3</v>
      </c>
      <c r="F41" s="440">
        <v>8.5301371291279793E-3</v>
      </c>
      <c r="G41" s="440">
        <v>8.3114635199308395E-3</v>
      </c>
      <c r="H41" s="440">
        <v>1.1845123022794724E-2</v>
      </c>
      <c r="I41" s="440">
        <v>1.0979882441461086E-2</v>
      </c>
      <c r="J41" s="440">
        <v>1.1051097884774208E-2</v>
      </c>
      <c r="K41" s="440">
        <v>1.0880587622523308E-2</v>
      </c>
      <c r="L41" s="440">
        <v>7.3201828636229038E-3</v>
      </c>
      <c r="M41" s="440">
        <v>8.338424377143383E-3</v>
      </c>
      <c r="N41" s="440">
        <v>9.0365679934620857E-3</v>
      </c>
      <c r="O41" s="440">
        <v>8.8312365114688873E-3</v>
      </c>
      <c r="P41" s="440">
        <v>7.633937057107687E-3</v>
      </c>
      <c r="Q41" s="440">
        <v>1.3647357933223248E-2</v>
      </c>
      <c r="R41" s="440">
        <v>1.0129316709935665E-2</v>
      </c>
      <c r="S41" s="440">
        <v>6.2926891259849072E-3</v>
      </c>
      <c r="T41" s="440">
        <v>5.0789853557944298E-3</v>
      </c>
      <c r="U41" s="440">
        <v>5.8538485318422318E-3</v>
      </c>
      <c r="V41" s="440">
        <v>6.0940813273191452E-3</v>
      </c>
      <c r="W41" s="440">
        <v>5.4848659783601761E-3</v>
      </c>
    </row>
    <row r="42" spans="1:23" s="342" customFormat="1" ht="15.5" x14ac:dyDescent="0.35">
      <c r="A42" s="342" t="s">
        <v>593</v>
      </c>
      <c r="B42" s="440">
        <v>1.9569788128137589E-2</v>
      </c>
      <c r="C42" s="440">
        <v>2.0256711170077324E-2</v>
      </c>
      <c r="D42" s="440">
        <v>2.3362409323453903E-2</v>
      </c>
      <c r="E42" s="440">
        <v>2.1654292941093445E-2</v>
      </c>
      <c r="F42" s="440">
        <v>2.2281346842646599E-2</v>
      </c>
      <c r="G42" s="440">
        <v>2.2701017558574677E-2</v>
      </c>
      <c r="H42" s="440">
        <v>2.2915404289960861E-2</v>
      </c>
      <c r="I42" s="440">
        <v>2.4040162563323975E-2</v>
      </c>
      <c r="J42" s="440">
        <v>2.3720970377326012E-2</v>
      </c>
      <c r="K42" s="440">
        <v>1.9428769126534462E-2</v>
      </c>
      <c r="L42" s="440">
        <v>2.214527316391468E-2</v>
      </c>
      <c r="M42" s="440">
        <v>2.0296273753046989E-2</v>
      </c>
      <c r="N42" s="440">
        <v>1.6667323186993599E-2</v>
      </c>
      <c r="O42" s="440">
        <v>1.5085489489138126E-2</v>
      </c>
      <c r="P42" s="440">
        <v>1.894044317305088E-2</v>
      </c>
      <c r="Q42" s="440">
        <v>2.4578755721449852E-2</v>
      </c>
      <c r="R42" s="440">
        <v>2.3991361260414124E-2</v>
      </c>
      <c r="S42" s="440">
        <v>1.7358878627419472E-2</v>
      </c>
      <c r="T42" s="440">
        <v>1.4650486409664154E-2</v>
      </c>
      <c r="U42" s="440">
        <v>1.679530180990696E-2</v>
      </c>
      <c r="V42" s="440">
        <v>1.8159953877329826E-2</v>
      </c>
      <c r="W42" s="440">
        <v>1.5164041891694069E-2</v>
      </c>
    </row>
    <row r="43" spans="1:23" s="342" customFormat="1" ht="15.5" x14ac:dyDescent="0.35">
      <c r="A43" s="342" t="s">
        <v>594</v>
      </c>
      <c r="B43" s="440">
        <v>0.12538072466850281</v>
      </c>
      <c r="C43" s="440">
        <v>0.13688872754573822</v>
      </c>
      <c r="D43" s="440">
        <v>0.13520409166812897</v>
      </c>
      <c r="E43" s="440">
        <v>0.12705589830875397</v>
      </c>
      <c r="F43" s="440">
        <v>0.13974833488464355</v>
      </c>
      <c r="G43" s="440">
        <v>0.15389536321163177</v>
      </c>
      <c r="H43" s="440">
        <v>0.12576237320899963</v>
      </c>
      <c r="I43" s="440">
        <v>0.17225413024425507</v>
      </c>
      <c r="J43" s="440">
        <v>0.15368488430976868</v>
      </c>
      <c r="K43" s="440">
        <v>0.14984668791294098</v>
      </c>
      <c r="L43" s="440">
        <v>0.13536724448204041</v>
      </c>
      <c r="M43" s="440">
        <v>0.15331907570362091</v>
      </c>
      <c r="N43" s="440">
        <v>0.13027390837669373</v>
      </c>
      <c r="O43" s="440">
        <v>0.13878071308135986</v>
      </c>
      <c r="P43" s="440">
        <v>0.12647739052772522</v>
      </c>
      <c r="Q43" s="440">
        <v>0.15570148825645447</v>
      </c>
      <c r="R43" s="440">
        <v>0.14775842428207397</v>
      </c>
      <c r="S43" s="440">
        <v>9.1799139976501465E-2</v>
      </c>
      <c r="T43" s="440">
        <v>0.100455641746521</v>
      </c>
      <c r="U43" s="440">
        <v>9.1095298528671265E-2</v>
      </c>
      <c r="V43" s="440">
        <v>0.14081607758998871</v>
      </c>
      <c r="W43" s="440">
        <v>0.11608456820249557</v>
      </c>
    </row>
    <row r="44" spans="1:23" s="342" customFormat="1" ht="15.5" x14ac:dyDescent="0.35">
      <c r="A44" s="342" t="s">
        <v>595</v>
      </c>
      <c r="B44" s="440">
        <v>3.2911509275436401E-2</v>
      </c>
      <c r="C44" s="440">
        <v>4.0337160229682922E-2</v>
      </c>
      <c r="D44" s="440">
        <v>4.048445075750351E-2</v>
      </c>
      <c r="E44" s="440">
        <v>3.560323640704155E-2</v>
      </c>
      <c r="F44" s="440">
        <v>4.3532781302928925E-2</v>
      </c>
      <c r="G44" s="440">
        <v>4.8298902809619904E-2</v>
      </c>
      <c r="H44" s="440">
        <v>5.0410822033882141E-2</v>
      </c>
      <c r="I44" s="440">
        <v>6.13211989402771E-2</v>
      </c>
      <c r="J44" s="440">
        <v>6.0561913996934891E-2</v>
      </c>
      <c r="K44" s="440">
        <v>6.030852347612381E-2</v>
      </c>
      <c r="L44" s="440">
        <v>4.3229281902313232E-2</v>
      </c>
      <c r="M44" s="440">
        <v>4.9521483480930328E-2</v>
      </c>
      <c r="N44" s="440">
        <v>4.2028196156024933E-2</v>
      </c>
      <c r="O44" s="440">
        <v>5.4218001663684845E-2</v>
      </c>
      <c r="P44" s="440">
        <v>4.948822408914566E-2</v>
      </c>
      <c r="Q44" s="440">
        <v>6.9858253002166748E-2</v>
      </c>
      <c r="R44" s="440">
        <v>5.6417357176542282E-2</v>
      </c>
      <c r="S44" s="440">
        <v>2.3757236078381538E-2</v>
      </c>
      <c r="T44" s="440">
        <v>2.3703185841441154E-2</v>
      </c>
      <c r="U44" s="440">
        <v>2.569272369146347E-2</v>
      </c>
      <c r="V44" s="440">
        <v>3.528045117855072E-2</v>
      </c>
      <c r="W44" s="440">
        <v>3.1295999884605408E-2</v>
      </c>
    </row>
    <row r="45" spans="1:23" s="342" customFormat="1" ht="15.5" x14ac:dyDescent="0.35">
      <c r="A45" s="342" t="s">
        <v>596</v>
      </c>
      <c r="B45" s="440">
        <v>3.2340429723262787E-2</v>
      </c>
      <c r="C45" s="440">
        <v>3.834402933716774E-2</v>
      </c>
      <c r="D45" s="440">
        <v>3.4815587103366852E-2</v>
      </c>
      <c r="E45" s="440">
        <v>3.2831072807312012E-2</v>
      </c>
      <c r="F45" s="440">
        <v>3.5088472068309784E-2</v>
      </c>
      <c r="G45" s="440">
        <v>3.8156904280185699E-2</v>
      </c>
      <c r="H45" s="440">
        <v>3.7530016154050827E-2</v>
      </c>
      <c r="I45" s="440">
        <v>4.7213494777679443E-2</v>
      </c>
      <c r="J45" s="440">
        <v>3.802935779094696E-2</v>
      </c>
      <c r="K45" s="440">
        <v>3.8660686463117599E-2</v>
      </c>
      <c r="L45" s="440">
        <v>3.2953500747680664E-2</v>
      </c>
      <c r="M45" s="440">
        <v>3.9538789540529251E-2</v>
      </c>
      <c r="N45" s="440">
        <v>2.9100336134433746E-2</v>
      </c>
      <c r="O45" s="440">
        <v>3.1358126550912857E-2</v>
      </c>
      <c r="P45" s="440">
        <v>2.8420289978384972E-2</v>
      </c>
      <c r="Q45" s="440">
        <v>3.4280542284250259E-2</v>
      </c>
      <c r="R45" s="440">
        <v>3.5134162753820419E-2</v>
      </c>
      <c r="S45" s="440">
        <v>2.365616150200367E-2</v>
      </c>
      <c r="T45" s="440">
        <v>2.083098329603672E-2</v>
      </c>
      <c r="U45" s="440">
        <v>2.3246306926012039E-2</v>
      </c>
      <c r="V45" s="440">
        <v>2.8106147423386574E-2</v>
      </c>
      <c r="W45" s="440">
        <v>2.660260908305645E-2</v>
      </c>
    </row>
    <row r="46" spans="1:23" s="342" customFormat="1" ht="15.5" x14ac:dyDescent="0.35">
      <c r="A46" s="342" t="s">
        <v>559</v>
      </c>
      <c r="B46" s="440">
        <v>1.2851337902247906E-2</v>
      </c>
      <c r="C46" s="440">
        <v>1.5687426552176476E-2</v>
      </c>
      <c r="D46" s="440">
        <v>1.5569166280329227E-2</v>
      </c>
      <c r="E46" s="440">
        <v>1.4939412474632263E-2</v>
      </c>
      <c r="F46" s="440">
        <v>1.6693130135536194E-2</v>
      </c>
      <c r="G46" s="440">
        <v>1.7280498519539833E-2</v>
      </c>
      <c r="H46" s="440">
        <v>1.6333075240254402E-2</v>
      </c>
      <c r="I46" s="440">
        <v>2.0666738972067833E-2</v>
      </c>
      <c r="J46" s="440">
        <v>1.7091890797019005E-2</v>
      </c>
      <c r="K46" s="440">
        <v>1.8044834956526756E-2</v>
      </c>
      <c r="L46" s="440">
        <v>1.3912331312894821E-2</v>
      </c>
      <c r="M46" s="440">
        <v>1.9787212833762169E-2</v>
      </c>
      <c r="N46" s="440">
        <v>1.181445550173521E-2</v>
      </c>
      <c r="O46" s="440">
        <v>1.4868327416479588E-2</v>
      </c>
      <c r="P46" s="440">
        <v>1.5871945768594742E-2</v>
      </c>
      <c r="Q46" s="440">
        <v>1.6079559922218323E-2</v>
      </c>
      <c r="R46" s="440">
        <v>1.952759362757206E-2</v>
      </c>
      <c r="S46" s="440">
        <v>8.6388560011982918E-3</v>
      </c>
      <c r="T46" s="440">
        <v>8.0602113157510757E-3</v>
      </c>
      <c r="U46" s="440">
        <v>8.5699483752250671E-3</v>
      </c>
      <c r="V46" s="440">
        <v>1.4562612399458885E-2</v>
      </c>
      <c r="W46" s="440">
        <v>1.1312536895275116E-2</v>
      </c>
    </row>
    <row r="47" spans="1:23" s="342" customFormat="1" ht="15.5" x14ac:dyDescent="0.35">
      <c r="A47" s="342" t="s">
        <v>561</v>
      </c>
      <c r="B47" s="440">
        <v>1.0173888877034187E-2</v>
      </c>
      <c r="C47" s="440">
        <v>1.2130524963140488E-2</v>
      </c>
      <c r="D47" s="440">
        <v>1.0494899936020374E-2</v>
      </c>
      <c r="E47" s="440">
        <v>8.822261355817318E-3</v>
      </c>
      <c r="F47" s="440">
        <v>1.249243039637804E-2</v>
      </c>
      <c r="G47" s="440">
        <v>1.1024685576558113E-2</v>
      </c>
      <c r="H47" s="440">
        <v>1.1607300490140915E-2</v>
      </c>
      <c r="I47" s="440">
        <v>1.3457579538226128E-2</v>
      </c>
      <c r="J47" s="440">
        <v>9.985075332224369E-3</v>
      </c>
      <c r="K47" s="440">
        <v>1.0653909295797348E-2</v>
      </c>
      <c r="L47" s="440">
        <v>1.0304760187864304E-2</v>
      </c>
      <c r="M47" s="440">
        <v>1.1438607238233089E-2</v>
      </c>
      <c r="N47" s="440">
        <v>9.7844609990715981E-3</v>
      </c>
      <c r="O47" s="440">
        <v>1.2841486372053623E-2</v>
      </c>
      <c r="P47" s="440">
        <v>9.901014156639576E-3</v>
      </c>
      <c r="Q47" s="440">
        <v>1.3444674201309681E-2</v>
      </c>
      <c r="R47" s="440">
        <v>1.1081881821155548E-2</v>
      </c>
      <c r="S47" s="440">
        <v>7.8532267361879349E-3</v>
      </c>
      <c r="T47" s="440">
        <v>7.0602032355964184E-3</v>
      </c>
      <c r="U47" s="440">
        <v>7.088828831911087E-3</v>
      </c>
      <c r="V47" s="440">
        <v>1.0649356059730053E-2</v>
      </c>
      <c r="W47" s="440">
        <v>7.612268440425396E-3</v>
      </c>
    </row>
    <row r="48" spans="1:23" s="342" customFormat="1" ht="15.5" x14ac:dyDescent="0.35">
      <c r="A48" s="342" t="s">
        <v>597</v>
      </c>
      <c r="B48" s="440">
        <v>4.8996889963746071E-3</v>
      </c>
      <c r="C48" s="440">
        <v>5.3059747442603111E-3</v>
      </c>
      <c r="D48" s="440">
        <v>6.1422297731041908E-3</v>
      </c>
      <c r="E48" s="440">
        <v>4.7818380407989025E-3</v>
      </c>
      <c r="F48" s="440">
        <v>5.8218543417751789E-3</v>
      </c>
      <c r="G48" s="440">
        <v>5.0236075185239315E-3</v>
      </c>
      <c r="H48" s="440">
        <v>8.1243431195616722E-3</v>
      </c>
      <c r="I48" s="440">
        <v>7.5558926910161972E-3</v>
      </c>
      <c r="J48" s="440">
        <v>6.2934798188507557E-3</v>
      </c>
      <c r="K48" s="440">
        <v>8.7331030517816544E-3</v>
      </c>
      <c r="L48" s="440">
        <v>4.5311967842280865E-3</v>
      </c>
      <c r="M48" s="440">
        <v>5.9865606017410755E-3</v>
      </c>
      <c r="N48" s="440">
        <v>4.841621033847332E-3</v>
      </c>
      <c r="O48" s="440">
        <v>5.0091929733753204E-3</v>
      </c>
      <c r="P48" s="440">
        <v>4.5726606622338295E-3</v>
      </c>
      <c r="Q48" s="440">
        <v>1.0269299149513245E-2</v>
      </c>
      <c r="R48" s="440">
        <v>7.0168636739253998E-3</v>
      </c>
      <c r="S48" s="440">
        <v>4.2880331166088581E-3</v>
      </c>
      <c r="T48" s="440">
        <v>4.0827374905347824E-3</v>
      </c>
      <c r="U48" s="440">
        <v>3.7092210259288549E-3</v>
      </c>
      <c r="V48" s="440">
        <v>5.0036688335239887E-3</v>
      </c>
      <c r="W48" s="440">
        <v>4.4665364548563957E-3</v>
      </c>
    </row>
    <row r="49" spans="1:23" s="342" customFormat="1" ht="15.5" x14ac:dyDescent="0.35">
      <c r="A49" s="342" t="s">
        <v>563</v>
      </c>
      <c r="B49" s="440">
        <v>2.4705356918275356E-3</v>
      </c>
      <c r="C49" s="440">
        <v>2.5942330248653889E-3</v>
      </c>
      <c r="D49" s="440">
        <v>3.3077984116971493E-3</v>
      </c>
      <c r="E49" s="440">
        <v>2.5805833283811808E-3</v>
      </c>
      <c r="F49" s="440">
        <v>2.1742552053183317E-3</v>
      </c>
      <c r="G49" s="440">
        <v>2.002333989366889E-3</v>
      </c>
      <c r="H49" s="440">
        <v>2.8615486808121204E-3</v>
      </c>
      <c r="I49" s="440">
        <v>2.5788275524973869E-3</v>
      </c>
      <c r="J49" s="440">
        <v>2.7321756351739168E-3</v>
      </c>
      <c r="K49" s="440">
        <v>2.6247033383697271E-3</v>
      </c>
      <c r="L49" s="440">
        <v>2.7093007229268551E-3</v>
      </c>
      <c r="M49" s="440">
        <v>2.6522092521190643E-3</v>
      </c>
      <c r="N49" s="440">
        <v>1.7994410591199994E-3</v>
      </c>
      <c r="O49" s="440">
        <v>2.3598221596330404E-3</v>
      </c>
      <c r="P49" s="440">
        <v>1.7977777170017362E-3</v>
      </c>
      <c r="Q49" s="440">
        <v>2.4862512946128845E-3</v>
      </c>
      <c r="R49" s="440">
        <v>1.744524110108614E-3</v>
      </c>
      <c r="S49" s="440">
        <v>2.9342400375753641E-3</v>
      </c>
      <c r="T49" s="440">
        <v>2.0977600943297148E-3</v>
      </c>
      <c r="U49" s="440">
        <v>1.9241718109697104E-3</v>
      </c>
      <c r="V49" s="440">
        <v>2.7413174975663424E-3</v>
      </c>
      <c r="W49" s="440">
        <v>2.2231857292354107E-3</v>
      </c>
    </row>
    <row r="50" spans="1:23" s="342" customFormat="1" ht="15.5" x14ac:dyDescent="0.35">
      <c r="A50" s="342" t="s">
        <v>565</v>
      </c>
      <c r="B50" s="440">
        <v>1.8466943874955177E-2</v>
      </c>
      <c r="C50" s="440">
        <v>2.0310945808887482E-2</v>
      </c>
      <c r="D50" s="440">
        <v>2.0689615979790688E-2</v>
      </c>
      <c r="E50" s="440">
        <v>1.9749987870454788E-2</v>
      </c>
      <c r="F50" s="440">
        <v>2.1756855770945549E-2</v>
      </c>
      <c r="G50" s="440">
        <v>2.0568354055285454E-2</v>
      </c>
      <c r="H50" s="440">
        <v>2.0598547533154488E-2</v>
      </c>
      <c r="I50" s="440">
        <v>2.2385956719517708E-2</v>
      </c>
      <c r="J50" s="440">
        <v>2.0597919821739197E-2</v>
      </c>
      <c r="K50" s="440">
        <v>2.1737314760684967E-2</v>
      </c>
      <c r="L50" s="440">
        <v>2.1975036710500717E-2</v>
      </c>
      <c r="M50" s="440">
        <v>2.7173692360520363E-2</v>
      </c>
      <c r="N50" s="440">
        <v>1.5323365107178688E-2</v>
      </c>
      <c r="O50" s="440">
        <v>1.5085489489138126E-2</v>
      </c>
      <c r="P50" s="440">
        <v>1.9782774150371552E-2</v>
      </c>
      <c r="Q50" s="440">
        <v>2.284918911755085E-2</v>
      </c>
      <c r="R50" s="440">
        <v>2.1360728889703751E-2</v>
      </c>
      <c r="S50" s="440">
        <v>1.5129100531339645E-2</v>
      </c>
      <c r="T50" s="440">
        <v>1.691742055118084E-2</v>
      </c>
      <c r="U50" s="440">
        <v>1.6168178990483284E-2</v>
      </c>
      <c r="V50" s="440">
        <v>2.0728029310703278E-2</v>
      </c>
      <c r="W50" s="440">
        <v>2.1848723292350769E-2</v>
      </c>
    </row>
    <row r="51" spans="1:23" s="342" customFormat="1" ht="15.5" x14ac:dyDescent="0.35">
      <c r="A51" s="342" t="s">
        <v>598</v>
      </c>
      <c r="B51" s="440">
        <v>5.4765608161687851E-2</v>
      </c>
      <c r="C51" s="440">
        <v>5.3891349583864212E-2</v>
      </c>
      <c r="D51" s="440">
        <v>7.1547739207744598E-2</v>
      </c>
      <c r="E51" s="440">
        <v>5.6035250425338745E-2</v>
      </c>
      <c r="F51" s="440">
        <v>6.1737403273582458E-2</v>
      </c>
      <c r="G51" s="440">
        <v>6.128445640206337E-2</v>
      </c>
      <c r="H51" s="440">
        <v>7.0142462849617004E-2</v>
      </c>
      <c r="I51" s="440">
        <v>7.6476328074932098E-2</v>
      </c>
      <c r="J51" s="440">
        <v>8.2237698137760162E-2</v>
      </c>
      <c r="K51" s="440">
        <v>8.6513794958591461E-2</v>
      </c>
      <c r="L51" s="440">
        <v>7.3918998241424561E-2</v>
      </c>
      <c r="M51" s="440">
        <v>7.0001021027565002E-2</v>
      </c>
      <c r="N51" s="440">
        <v>5.7531505823135376E-2</v>
      </c>
      <c r="O51" s="440">
        <v>7.6078929007053375E-2</v>
      </c>
      <c r="P51" s="440">
        <v>7.0289015769958496E-2</v>
      </c>
      <c r="Q51" s="440">
        <v>0.10135527700185776</v>
      </c>
      <c r="R51" s="440">
        <v>8.0558247864246368E-2</v>
      </c>
      <c r="S51" s="440">
        <v>4.8563510179519653E-2</v>
      </c>
      <c r="T51" s="440">
        <v>5.2492875605821609E-2</v>
      </c>
      <c r="U51" s="440">
        <v>4.9910746514797211E-2</v>
      </c>
      <c r="V51" s="440">
        <v>6.3834987580776215E-2</v>
      </c>
      <c r="W51" s="440">
        <v>6.5581455826759338E-2</v>
      </c>
    </row>
    <row r="52" spans="1:23" s="342" customFormat="1" ht="15.5" x14ac:dyDescent="0.35">
      <c r="A52" s="342" t="s">
        <v>566</v>
      </c>
      <c r="B52" s="440">
        <v>7.7799113932996988E-4</v>
      </c>
      <c r="C52" s="440">
        <v>6.7793548805639148E-4</v>
      </c>
      <c r="D52" s="440">
        <v>1.4143291627988219E-3</v>
      </c>
      <c r="E52" s="440">
        <v>8.697734447196126E-4</v>
      </c>
      <c r="F52" s="440">
        <v>7.1521551581099629E-4</v>
      </c>
      <c r="G52" s="440">
        <v>8.5898948600515723E-4</v>
      </c>
      <c r="H52" s="440">
        <v>5.6770670926198363E-4</v>
      </c>
      <c r="I52" s="440">
        <v>4.3341639684513211E-4</v>
      </c>
      <c r="J52" s="440">
        <v>1.1055046343244612E-4</v>
      </c>
      <c r="K52" s="440">
        <v>3.9370547165162861E-4</v>
      </c>
      <c r="L52" s="440">
        <v>6.3748250249773264E-4</v>
      </c>
      <c r="M52" s="440">
        <v>9.2649157159030437E-4</v>
      </c>
      <c r="N52" s="440">
        <v>5.3983234101906419E-4</v>
      </c>
      <c r="O52" s="440">
        <v>1.1292400304228067E-3</v>
      </c>
      <c r="P52" s="440">
        <v>9.5544545911252499E-4</v>
      </c>
      <c r="Q52" s="440">
        <v>1.7025416018441319E-3</v>
      </c>
      <c r="R52" s="440">
        <v>9.3041284708306193E-4</v>
      </c>
      <c r="S52" s="440">
        <v>3.6448283935897052E-4</v>
      </c>
      <c r="T52" s="440">
        <v>5.0376320723444223E-4</v>
      </c>
      <c r="U52" s="440">
        <v>5.2010425133630633E-4</v>
      </c>
      <c r="V52" s="440">
        <v>2.7515081455931067E-4</v>
      </c>
      <c r="W52" s="440">
        <v>6.7552580730989575E-4</v>
      </c>
    </row>
    <row r="53" spans="1:23" s="342" customFormat="1" ht="15.5" x14ac:dyDescent="0.35">
      <c r="A53" s="342" t="s">
        <v>599</v>
      </c>
      <c r="B53" s="440">
        <v>0.17160704731941223</v>
      </c>
      <c r="C53" s="440">
        <v>0.17659315466880798</v>
      </c>
      <c r="D53" s="440">
        <v>0.18190582096576691</v>
      </c>
      <c r="E53" s="440">
        <v>0.16924373805522919</v>
      </c>
      <c r="F53" s="440">
        <v>0.16803273558616638</v>
      </c>
      <c r="G53" s="440">
        <v>0.18524552881717682</v>
      </c>
      <c r="H53" s="440">
        <v>0.14651435613632202</v>
      </c>
      <c r="I53" s="440">
        <v>0.17066493630409241</v>
      </c>
      <c r="J53" s="440">
        <v>0.16516633331775665</v>
      </c>
      <c r="K53" s="440">
        <v>0.15594913065433502</v>
      </c>
      <c r="L53" s="440">
        <v>0.14467594027519226</v>
      </c>
      <c r="M53" s="440">
        <v>0.16287924349308014</v>
      </c>
      <c r="N53" s="440">
        <v>0.14208273589611053</v>
      </c>
      <c r="O53" s="440">
        <v>0.17523489892482758</v>
      </c>
      <c r="P53" s="440">
        <v>0.14806756377220154</v>
      </c>
      <c r="Q53" s="440">
        <v>0.18588782846927643</v>
      </c>
      <c r="R53" s="440">
        <v>0.17148949205875397</v>
      </c>
      <c r="S53" s="440">
        <v>0.14524488151073456</v>
      </c>
      <c r="T53" s="440">
        <v>0.15180189907550812</v>
      </c>
      <c r="U53" s="440">
        <v>0.14117085933685303</v>
      </c>
      <c r="V53" s="440">
        <v>0.15825249254703522</v>
      </c>
      <c r="W53" s="440">
        <v>0.16435441374778748</v>
      </c>
    </row>
    <row r="54" spans="1:23" s="342" customFormat="1" ht="15.5" x14ac:dyDescent="0.35">
      <c r="A54" s="342" t="s">
        <v>600</v>
      </c>
      <c r="B54" s="440">
        <v>1.1922299861907959E-2</v>
      </c>
      <c r="C54" s="440">
        <v>1.2126005254685879E-2</v>
      </c>
      <c r="D54" s="440">
        <v>1.3762288726866245E-2</v>
      </c>
      <c r="E54" s="440">
        <v>1.2036974541842937E-2</v>
      </c>
      <c r="F54" s="440">
        <v>1.0289566591382027E-2</v>
      </c>
      <c r="G54" s="440">
        <v>1.2529398314654827E-2</v>
      </c>
      <c r="H54" s="440">
        <v>1.4438162557780743E-2</v>
      </c>
      <c r="I54" s="440">
        <v>1.201285794377327E-2</v>
      </c>
      <c r="J54" s="440">
        <v>1.2429030612111092E-2</v>
      </c>
      <c r="K54" s="440">
        <v>1.249716617166996E-2</v>
      </c>
      <c r="L54" s="440">
        <v>1.0206964798271656E-2</v>
      </c>
      <c r="M54" s="440">
        <v>1.2461820617318153E-2</v>
      </c>
      <c r="N54" s="440">
        <v>1.2714175507426262E-2</v>
      </c>
      <c r="O54" s="440">
        <v>1.2899396009743214E-2</v>
      </c>
      <c r="P54" s="440">
        <v>1.1621778830885887E-2</v>
      </c>
      <c r="Q54" s="440">
        <v>1.6755171120166779E-2</v>
      </c>
      <c r="R54" s="440">
        <v>1.2405505403876305E-2</v>
      </c>
      <c r="S54" s="440">
        <v>9.9390484392642975E-3</v>
      </c>
      <c r="T54" s="440">
        <v>9.706839919090271E-3</v>
      </c>
      <c r="U54" s="440">
        <v>1.0117419064044952E-2</v>
      </c>
      <c r="V54" s="440">
        <v>1.0211152955889702E-2</v>
      </c>
      <c r="W54" s="440">
        <v>1.0853784158825874E-2</v>
      </c>
    </row>
    <row r="55" spans="1:23" s="342" customFormat="1" ht="15.5" x14ac:dyDescent="0.35">
      <c r="A55" s="342" t="s">
        <v>601</v>
      </c>
      <c r="B55" s="440">
        <v>7.502648513764143E-3</v>
      </c>
      <c r="C55" s="440">
        <v>5.4641598835587502E-3</v>
      </c>
      <c r="D55" s="440">
        <v>7.6835597865283489E-3</v>
      </c>
      <c r="E55" s="440">
        <v>6.6669858060777187E-3</v>
      </c>
      <c r="F55" s="440">
        <v>6.2652877531945705E-3</v>
      </c>
      <c r="G55" s="440">
        <v>6.4513073302805424E-3</v>
      </c>
      <c r="H55" s="440">
        <v>7.8711770474910736E-3</v>
      </c>
      <c r="I55" s="440">
        <v>6.5445876680314541E-3</v>
      </c>
      <c r="J55" s="440">
        <v>8.9822253212332726E-3</v>
      </c>
      <c r="K55" s="440">
        <v>8.464667946100235E-3</v>
      </c>
      <c r="L55" s="440">
        <v>8.8668027892708778E-3</v>
      </c>
      <c r="M55" s="440">
        <v>9.1834655031561852E-3</v>
      </c>
      <c r="N55" s="440">
        <v>6.3486527651548386E-3</v>
      </c>
      <c r="O55" s="440">
        <v>9.5261530950665474E-3</v>
      </c>
      <c r="P55" s="440">
        <v>6.476331502199173E-3</v>
      </c>
      <c r="Q55" s="440">
        <v>8.9451000094413757E-3</v>
      </c>
      <c r="R55" s="440">
        <v>8.8721513748168945E-3</v>
      </c>
      <c r="S55" s="440">
        <v>9.8701342940330505E-3</v>
      </c>
      <c r="T55" s="440">
        <v>1.0308348573744297E-2</v>
      </c>
      <c r="U55" s="440">
        <v>7.6966872438788414E-3</v>
      </c>
      <c r="V55" s="440">
        <v>6.4405673183500767E-3</v>
      </c>
      <c r="W55" s="440">
        <v>8.1567224115133286E-3</v>
      </c>
    </row>
    <row r="56" spans="1:23" s="342" customFormat="1" ht="15.5" x14ac:dyDescent="0.35">
      <c r="A56" s="342" t="s">
        <v>602</v>
      </c>
      <c r="B56" s="440">
        <v>2.5201947428286076E-3</v>
      </c>
      <c r="C56" s="440">
        <v>3.0913855880498886E-3</v>
      </c>
      <c r="D56" s="440">
        <v>3.2673890236765146E-3</v>
      </c>
      <c r="E56" s="440">
        <v>2.3411083966493607E-3</v>
      </c>
      <c r="F56" s="440">
        <v>2.7416592929512262E-3</v>
      </c>
      <c r="G56" s="440">
        <v>2.8790957294404507E-3</v>
      </c>
      <c r="H56" s="440">
        <v>3.7131085991859436E-3</v>
      </c>
      <c r="I56" s="440">
        <v>2.8244303539395332E-3</v>
      </c>
      <c r="J56" s="440">
        <v>3.044086042791605E-3</v>
      </c>
      <c r="K56" s="440">
        <v>2.0281798206269741E-3</v>
      </c>
      <c r="L56" s="440">
        <v>2.9266243800520897E-3</v>
      </c>
      <c r="M56" s="440">
        <v>3.9299530908465385E-3</v>
      </c>
      <c r="N56" s="440">
        <v>3.8294354453682899E-3</v>
      </c>
      <c r="O56" s="440">
        <v>3.9523402228951454E-3</v>
      </c>
      <c r="P56" s="440">
        <v>2.3777836468070745E-3</v>
      </c>
      <c r="Q56" s="440">
        <v>3.3780587837100029E-3</v>
      </c>
      <c r="R56" s="440">
        <v>3.2176778186112642E-3</v>
      </c>
      <c r="S56" s="440">
        <v>2.0306899677962065E-3</v>
      </c>
      <c r="T56" s="440">
        <v>2.6955089997500181E-3</v>
      </c>
      <c r="U56" s="440">
        <v>2.129645086824894E-3</v>
      </c>
      <c r="V56" s="440">
        <v>2.0483450498431921E-3</v>
      </c>
      <c r="W56" s="440">
        <v>1.7039382364600897E-3</v>
      </c>
    </row>
    <row r="57" spans="1:23" s="342" customFormat="1" ht="15.5" x14ac:dyDescent="0.35">
      <c r="A57" s="342" t="s">
        <v>568</v>
      </c>
      <c r="B57" s="440">
        <v>2.2158263251185417E-2</v>
      </c>
      <c r="C57" s="440">
        <v>2.2634005174040794E-2</v>
      </c>
      <c r="D57" s="440">
        <v>2.4389961734414101E-2</v>
      </c>
      <c r="E57" s="440">
        <v>2.1117869764566422E-2</v>
      </c>
      <c r="F57" s="440">
        <v>2.3349402472376823E-2</v>
      </c>
      <c r="G57" s="440">
        <v>2.5058796629309654E-2</v>
      </c>
      <c r="H57" s="440">
        <v>2.3782307282090187E-2</v>
      </c>
      <c r="I57" s="440">
        <v>2.5087585672736168E-2</v>
      </c>
      <c r="J57" s="440">
        <v>2.852991595864296E-2</v>
      </c>
      <c r="K57" s="440">
        <v>2.9515981674194336E-2</v>
      </c>
      <c r="L57" s="440">
        <v>2.1877240389585495E-2</v>
      </c>
      <c r="M57" s="440">
        <v>2.5366524234414101E-2</v>
      </c>
      <c r="N57" s="440">
        <v>1.7707625404000282E-2</v>
      </c>
      <c r="O57" s="440">
        <v>1.908126100897789E-2</v>
      </c>
      <c r="P57" s="440">
        <v>2.2266451269388199E-2</v>
      </c>
      <c r="Q57" s="440">
        <v>2.6727201417088509E-2</v>
      </c>
      <c r="R57" s="440">
        <v>2.5115609169006348E-2</v>
      </c>
      <c r="S57" s="440">
        <v>1.5129100531339645E-2</v>
      </c>
      <c r="T57" s="440">
        <v>1.6556516289710999E-2</v>
      </c>
      <c r="U57" s="440">
        <v>1.624523289501667E-2</v>
      </c>
      <c r="V57" s="440">
        <v>2.0106391981244087E-2</v>
      </c>
      <c r="W57" s="440">
        <v>1.8324898555874825E-2</v>
      </c>
    </row>
    <row r="58" spans="1:23" s="342" customFormat="1" ht="15.5" x14ac:dyDescent="0.35">
      <c r="A58" s="342" t="s">
        <v>603</v>
      </c>
      <c r="B58" s="440">
        <v>5.0532180815935135E-2</v>
      </c>
      <c r="C58" s="440">
        <v>5.1211245357990265E-2</v>
      </c>
      <c r="D58" s="440">
        <v>5.2156995981931686E-2</v>
      </c>
      <c r="E58" s="440">
        <v>3.9739452302455902E-2</v>
      </c>
      <c r="F58" s="440">
        <v>5.1986631006002426E-2</v>
      </c>
      <c r="G58" s="440">
        <v>6.0579493641853333E-2</v>
      </c>
      <c r="H58" s="440">
        <v>5.192214623093605E-2</v>
      </c>
      <c r="I58" s="440">
        <v>6.7230105400085449E-2</v>
      </c>
      <c r="J58" s="440">
        <v>6.0913305729627609E-2</v>
      </c>
      <c r="K58" s="440">
        <v>5.7946290820837021E-2</v>
      </c>
      <c r="L58" s="440">
        <v>4.7057799994945526E-2</v>
      </c>
      <c r="M58" s="440">
        <v>5.5508043617010117E-2</v>
      </c>
      <c r="N58" s="440">
        <v>3.8598012179136276E-2</v>
      </c>
      <c r="O58" s="440">
        <v>4.6805553138256073E-2</v>
      </c>
      <c r="P58" s="440">
        <v>3.8855582475662231E-2</v>
      </c>
      <c r="Q58" s="440">
        <v>6.1007741838693619E-2</v>
      </c>
      <c r="R58" s="440">
        <v>5.1964666694402695E-2</v>
      </c>
      <c r="S58" s="440">
        <v>3.0063707381486893E-2</v>
      </c>
      <c r="T58" s="440">
        <v>3.5872451961040497E-2</v>
      </c>
      <c r="U58" s="440">
        <v>2.8314648196101189E-2</v>
      </c>
      <c r="V58" s="440">
        <v>4.7529757022857666E-2</v>
      </c>
      <c r="W58" s="440">
        <v>3.9503134787082672E-2</v>
      </c>
    </row>
    <row r="59" spans="1:23" s="342" customFormat="1" ht="15.5" x14ac:dyDescent="0.35">
      <c r="A59" s="342" t="s">
        <v>604</v>
      </c>
      <c r="B59" s="440">
        <v>4.1407335549592972E-2</v>
      </c>
      <c r="C59" s="440">
        <v>3.9410647004842758E-2</v>
      </c>
      <c r="D59" s="440">
        <v>4.5639537274837494E-2</v>
      </c>
      <c r="E59" s="440">
        <v>3.5436563193798065E-2</v>
      </c>
      <c r="F59" s="440">
        <v>4.3218087404966354E-2</v>
      </c>
      <c r="G59" s="440">
        <v>4.2060863226652145E-2</v>
      </c>
      <c r="H59" s="440">
        <v>5.4185301065444946E-2</v>
      </c>
      <c r="I59" s="440">
        <v>4.4909164309501648E-2</v>
      </c>
      <c r="J59" s="440">
        <v>5.2744414657354355E-2</v>
      </c>
      <c r="K59" s="440">
        <v>5.3705006837844849E-2</v>
      </c>
      <c r="L59" s="440">
        <v>3.7951942533254623E-2</v>
      </c>
      <c r="M59" s="440">
        <v>4.2435348033905029E-2</v>
      </c>
      <c r="N59" s="440">
        <v>2.4702951312065125E-2</v>
      </c>
      <c r="O59" s="440">
        <v>3.5657927393913269E-2</v>
      </c>
      <c r="P59" s="440">
        <v>3.1024299561977386E-2</v>
      </c>
      <c r="Q59" s="440">
        <v>3.8847677409648895E-2</v>
      </c>
      <c r="R59" s="440">
        <v>3.5748898983001709E-2</v>
      </c>
      <c r="S59" s="440">
        <v>3.1710006296634674E-2</v>
      </c>
      <c r="T59" s="440">
        <v>3.3218294382095337E-2</v>
      </c>
      <c r="U59" s="440">
        <v>2.9179347679018974E-2</v>
      </c>
      <c r="V59" s="440">
        <v>4.0844611823558807E-2</v>
      </c>
      <c r="W59" s="440">
        <v>3.8172248750925064E-2</v>
      </c>
    </row>
    <row r="60" spans="1:23" s="342" customFormat="1" ht="15.5" x14ac:dyDescent="0.35">
      <c r="A60" s="342" t="s">
        <v>605</v>
      </c>
      <c r="B60" s="440">
        <v>8.7017066776752472E-2</v>
      </c>
      <c r="C60" s="440">
        <v>8.4384888410568237E-2</v>
      </c>
      <c r="D60" s="440">
        <v>9.115784615278244E-2</v>
      </c>
      <c r="E60" s="440">
        <v>8.1166721880435944E-2</v>
      </c>
      <c r="F60" s="440">
        <v>9.0675018727779388E-2</v>
      </c>
      <c r="G60" s="440">
        <v>9.1372780501842499E-2</v>
      </c>
      <c r="H60" s="440">
        <v>9.2275351285934448E-2</v>
      </c>
      <c r="I60" s="440">
        <v>0.11107739806175232</v>
      </c>
      <c r="J60" s="440">
        <v>0.1039569154381752</v>
      </c>
      <c r="K60" s="440">
        <v>0.11393598467111588</v>
      </c>
      <c r="L60" s="440">
        <v>9.1576538980007172E-2</v>
      </c>
      <c r="M60" s="440">
        <v>8.6621865630149841E-2</v>
      </c>
      <c r="N60" s="440">
        <v>5.8667402714490891E-2</v>
      </c>
      <c r="O60" s="440">
        <v>8.7226554751396179E-2</v>
      </c>
      <c r="P60" s="440">
        <v>7.6555967330932617E-2</v>
      </c>
      <c r="Q60" s="440">
        <v>0.10200386494398117</v>
      </c>
      <c r="R60" s="440">
        <v>8.8754743337631226E-2</v>
      </c>
      <c r="S60" s="440">
        <v>6.3222460448741913E-2</v>
      </c>
      <c r="T60" s="440">
        <v>7.9763755202293396E-2</v>
      </c>
      <c r="U60" s="440">
        <v>7.0062115788459778E-2</v>
      </c>
      <c r="V60" s="440">
        <v>7.9324960708618164E-2</v>
      </c>
      <c r="W60" s="440">
        <v>8.0518640577793121E-2</v>
      </c>
    </row>
    <row r="61" spans="1:23" s="342" customFormat="1" ht="15.5" x14ac:dyDescent="0.35">
      <c r="A61" s="342" t="s">
        <v>606</v>
      </c>
      <c r="B61" s="440">
        <v>6.1990995891392231E-3</v>
      </c>
      <c r="C61" s="440">
        <v>6.3861520029604435E-3</v>
      </c>
      <c r="D61" s="440">
        <v>6.4885960891842842E-3</v>
      </c>
      <c r="E61" s="440">
        <v>5.7703913189470768E-3</v>
      </c>
      <c r="F61" s="440">
        <v>5.9505929239094257E-3</v>
      </c>
      <c r="G61" s="440">
        <v>6.6171810030937195E-3</v>
      </c>
      <c r="H61" s="440">
        <v>5.6080217473208904E-3</v>
      </c>
      <c r="I61" s="440">
        <v>5.2082203328609467E-3</v>
      </c>
      <c r="J61" s="440">
        <v>4.3272608891129494E-3</v>
      </c>
      <c r="K61" s="440">
        <v>3.8714371621608734E-3</v>
      </c>
      <c r="L61" s="440">
        <v>4.6181264333426952E-3</v>
      </c>
      <c r="M61" s="440">
        <v>6.2003666535019875E-3</v>
      </c>
      <c r="N61" s="440">
        <v>6.6635552793741226E-3</v>
      </c>
      <c r="O61" s="440">
        <v>5.8054523542523384E-3</v>
      </c>
      <c r="P61" s="440">
        <v>3.3621089532971382E-3</v>
      </c>
      <c r="Q61" s="440">
        <v>4.3104030191898346E-3</v>
      </c>
      <c r="R61" s="440">
        <v>4.5634536072611809E-3</v>
      </c>
      <c r="S61" s="440">
        <v>3.5621304996311665E-3</v>
      </c>
      <c r="T61" s="440">
        <v>4.3195812031626701E-3</v>
      </c>
      <c r="U61" s="440">
        <v>3.6043440923094749E-3</v>
      </c>
      <c r="V61" s="440">
        <v>5.9514106251299381E-3</v>
      </c>
      <c r="W61" s="440">
        <v>4.3253814801573753E-3</v>
      </c>
    </row>
    <row r="62" spans="1:23" s="342" customFormat="1" ht="15.5" x14ac:dyDescent="0.35">
      <c r="A62" s="342" t="s">
        <v>510</v>
      </c>
      <c r="B62" s="440">
        <v>0.14372351765632629</v>
      </c>
      <c r="C62" s="440">
        <v>0.15199765563011169</v>
      </c>
      <c r="D62" s="440">
        <v>0.15905141830444336</v>
      </c>
      <c r="E62" s="440">
        <v>0.13944154977798462</v>
      </c>
      <c r="F62" s="440">
        <v>0.16827590763568878</v>
      </c>
      <c r="G62" s="440">
        <v>0.14175696671009064</v>
      </c>
      <c r="H62" s="440">
        <v>0.15499159693717957</v>
      </c>
      <c r="I62" s="440">
        <v>0.16568787395954132</v>
      </c>
      <c r="J62" s="440">
        <v>0.1464359313249588</v>
      </c>
      <c r="K62" s="440">
        <v>0.17395220696926117</v>
      </c>
      <c r="L62" s="440">
        <v>0.15694747865200043</v>
      </c>
      <c r="M62" s="440">
        <v>0.16668702661991119</v>
      </c>
      <c r="N62" s="440">
        <v>9.0067647397518158E-2</v>
      </c>
      <c r="O62" s="440">
        <v>0.14891491830348969</v>
      </c>
      <c r="P62" s="440">
        <v>0.11045141518115997</v>
      </c>
      <c r="Q62" s="440">
        <v>0.13864904642105103</v>
      </c>
      <c r="R62" s="440">
        <v>0.15443192422389984</v>
      </c>
      <c r="S62" s="440">
        <v>0.12730865180492401</v>
      </c>
      <c r="T62" s="440">
        <v>0.13512507081031799</v>
      </c>
      <c r="U62" s="440">
        <v>0.13227343559265137</v>
      </c>
      <c r="V62" s="440">
        <v>0.15400293469429016</v>
      </c>
      <c r="W62" s="440">
        <v>0.15367203950881958</v>
      </c>
    </row>
    <row r="63" spans="1:23" s="342" customFormat="1" ht="15.5" x14ac:dyDescent="0.35">
      <c r="A63" s="342" t="s">
        <v>570</v>
      </c>
      <c r="B63" s="440">
        <v>2.5760610587894917E-3</v>
      </c>
      <c r="C63" s="440">
        <v>3.2766880467534065E-3</v>
      </c>
      <c r="D63" s="440">
        <v>3.0826602596789598E-3</v>
      </c>
      <c r="E63" s="440">
        <v>2.4943724274635315E-3</v>
      </c>
      <c r="F63" s="440">
        <v>2.9037748463451862E-3</v>
      </c>
      <c r="G63" s="440">
        <v>3.0805140268057585E-3</v>
      </c>
      <c r="H63" s="440">
        <v>3.1760889105498791E-3</v>
      </c>
      <c r="I63" s="440">
        <v>3.445660462602973E-3</v>
      </c>
      <c r="J63" s="440">
        <v>2.6334698777645826E-3</v>
      </c>
      <c r="K63" s="440">
        <v>2.9826173558831215E-3</v>
      </c>
      <c r="L63" s="440">
        <v>2.651347778737545E-3</v>
      </c>
      <c r="M63" s="440">
        <v>3.2223579473793507E-3</v>
      </c>
      <c r="N63" s="440">
        <v>2.620436018332839E-3</v>
      </c>
      <c r="O63" s="440">
        <v>2.8231001924723387E-3</v>
      </c>
      <c r="P63" s="440">
        <v>2.2237570956349373E-3</v>
      </c>
      <c r="Q63" s="440">
        <v>2.7970327064394951E-3</v>
      </c>
      <c r="R63" s="440">
        <v>3.1013763509690762E-3</v>
      </c>
      <c r="S63" s="440">
        <v>2.1792398765683174E-3</v>
      </c>
      <c r="T63" s="440">
        <v>1.744374050758779E-3</v>
      </c>
      <c r="U63" s="440">
        <v>1.7700667958706617E-3</v>
      </c>
      <c r="V63" s="440">
        <v>2.5171204470098019E-3</v>
      </c>
      <c r="W63" s="440">
        <v>2.0064124837517738E-3</v>
      </c>
    </row>
    <row r="64" spans="1:23" s="342" customFormat="1" ht="15.5" x14ac:dyDescent="0.35">
      <c r="A64" s="342" t="s">
        <v>571</v>
      </c>
      <c r="B64" s="440">
        <v>1.470941212028265E-2</v>
      </c>
      <c r="C64" s="440">
        <v>1.4001627452671528E-2</v>
      </c>
      <c r="D64" s="440">
        <v>1.3109965249896049E-2</v>
      </c>
      <c r="E64" s="440">
        <v>1.2751568108797073E-2</v>
      </c>
      <c r="F64" s="440">
        <v>1.3422210700809956E-2</v>
      </c>
      <c r="G64" s="440">
        <v>1.2825601734220982E-2</v>
      </c>
      <c r="H64" s="440">
        <v>1.3939500786364079E-2</v>
      </c>
      <c r="I64" s="440">
        <v>1.7054935917258263E-2</v>
      </c>
      <c r="J64" s="440">
        <v>1.7806520685553551E-2</v>
      </c>
      <c r="K64" s="440">
        <v>1.6458082944154739E-2</v>
      </c>
      <c r="L64" s="440">
        <v>1.2264294549822807E-2</v>
      </c>
      <c r="M64" s="440">
        <v>1.2309102341532707E-2</v>
      </c>
      <c r="N64" s="440">
        <v>1.191567350178957E-2</v>
      </c>
      <c r="O64" s="440">
        <v>1.6373980790376663E-2</v>
      </c>
      <c r="P64" s="440">
        <v>1.2613323517143726E-2</v>
      </c>
      <c r="Q64" s="440">
        <v>1.5093167312443256E-2</v>
      </c>
      <c r="R64" s="440">
        <v>1.4836762100458145E-2</v>
      </c>
      <c r="S64" s="440">
        <v>1.3211737386882305E-2</v>
      </c>
      <c r="T64" s="440">
        <v>1.1150459758937359E-2</v>
      </c>
      <c r="U64" s="440">
        <v>1.2578818015754223E-2</v>
      </c>
      <c r="V64" s="440">
        <v>1.1576715856790543E-2</v>
      </c>
      <c r="W64" s="440">
        <v>1.1877154931426048E-2</v>
      </c>
    </row>
    <row r="65" spans="1:23" s="342" customFormat="1" ht="15.5" x14ac:dyDescent="0.35">
      <c r="A65" s="342" t="s">
        <v>607</v>
      </c>
      <c r="B65" s="440">
        <v>7.9164737835526466E-3</v>
      </c>
      <c r="C65" s="440">
        <v>7.2493897750973701E-3</v>
      </c>
      <c r="D65" s="440">
        <v>7.2679203003644943E-3</v>
      </c>
      <c r="E65" s="440">
        <v>8.4333540871739388E-3</v>
      </c>
      <c r="F65" s="440">
        <v>7.4525452218949795E-3</v>
      </c>
      <c r="G65" s="440">
        <v>6.3683702610433102E-3</v>
      </c>
      <c r="H65" s="440">
        <v>6.4595816656947136E-3</v>
      </c>
      <c r="I65" s="440">
        <v>5.995593499392271E-3</v>
      </c>
      <c r="J65" s="440">
        <v>7.8253932297229767E-3</v>
      </c>
      <c r="K65" s="440">
        <v>7.2000380605459213E-3</v>
      </c>
      <c r="L65" s="440">
        <v>8.0771930515766144E-3</v>
      </c>
      <c r="M65" s="440">
        <v>8.2213394343852997E-3</v>
      </c>
      <c r="N65" s="440">
        <v>9.570777416229248E-3</v>
      </c>
      <c r="O65" s="440">
        <v>1.0250025428831577E-2</v>
      </c>
      <c r="P65" s="440">
        <v>9.8432544618844986E-3</v>
      </c>
      <c r="Q65" s="440">
        <v>6.5264096483588219E-3</v>
      </c>
      <c r="R65" s="440">
        <v>7.5817573815584183E-3</v>
      </c>
      <c r="S65" s="440">
        <v>9.4152959063649178E-3</v>
      </c>
      <c r="T65" s="440">
        <v>1.0706847533583641E-2</v>
      </c>
      <c r="U65" s="440">
        <v>9.4496309757232666E-3</v>
      </c>
      <c r="V65" s="440">
        <v>7.9793734475970268E-3</v>
      </c>
      <c r="W65" s="440">
        <v>8.2777114585042E-3</v>
      </c>
    </row>
    <row r="66" spans="1:23" s="342" customFormat="1" ht="15.5" x14ac:dyDescent="0.35">
      <c r="A66" s="342" t="s">
        <v>608</v>
      </c>
      <c r="B66" s="440">
        <v>5.8473482728004456E-2</v>
      </c>
      <c r="C66" s="440">
        <v>5.4763626307249069E-2</v>
      </c>
      <c r="D66" s="440">
        <v>6.0417834669351578E-2</v>
      </c>
      <c r="E66" s="440">
        <v>5.4358925670385361E-2</v>
      </c>
      <c r="F66" s="440">
        <v>4.5573532581329346E-2</v>
      </c>
      <c r="G66" s="440">
        <v>3.2991118729114532E-2</v>
      </c>
      <c r="H66" s="440">
        <v>3.2911643385887146E-2</v>
      </c>
      <c r="I66" s="440">
        <v>4.1998051106929779E-2</v>
      </c>
      <c r="J66" s="440">
        <v>5.4872512817382813E-2</v>
      </c>
      <c r="K66" s="440">
        <v>4.9320559948682785E-2</v>
      </c>
      <c r="L66" s="440">
        <v>5.2161283791065216E-2</v>
      </c>
      <c r="M66" s="440">
        <v>3.9971493184566498E-2</v>
      </c>
      <c r="N66" s="440">
        <v>5.695793405175209E-2</v>
      </c>
      <c r="O66" s="440">
        <v>6.2846556305885315E-2</v>
      </c>
      <c r="P66" s="440">
        <v>6.8368501961231232E-2</v>
      </c>
      <c r="Q66" s="440">
        <v>4.6955019235610962E-2</v>
      </c>
      <c r="R66" s="440">
        <v>4.6487413346767426E-2</v>
      </c>
      <c r="S66" s="440">
        <v>6.0159575194120407E-2</v>
      </c>
      <c r="T66" s="440">
        <v>7.4835151433944702E-2</v>
      </c>
      <c r="U66" s="440">
        <v>6.6500574350357056E-2</v>
      </c>
      <c r="V66" s="440">
        <v>6.2591716647148132E-2</v>
      </c>
      <c r="W66" s="440">
        <v>4.1111290454864502E-2</v>
      </c>
    </row>
    <row r="67" spans="1:23" s="342" customFormat="1" ht="15.5" x14ac:dyDescent="0.35">
      <c r="A67" s="342" t="s">
        <v>821</v>
      </c>
      <c r="B67" s="440">
        <v>8.6141738891601563</v>
      </c>
      <c r="C67" s="440">
        <v>7.9001221656799316</v>
      </c>
      <c r="D67" s="440">
        <v>8.9448299407958984</v>
      </c>
      <c r="E67" s="440">
        <v>8.4681529998779297</v>
      </c>
      <c r="F67" s="440">
        <v>7.2544021606445313</v>
      </c>
      <c r="G67" s="440">
        <v>3.6816704273223877</v>
      </c>
      <c r="H67" s="440">
        <v>4.4530911445617676</v>
      </c>
      <c r="I67" s="440">
        <v>4.6222271919250488</v>
      </c>
      <c r="J67" s="440">
        <v>8.6048612594604492</v>
      </c>
      <c r="K67" s="440">
        <v>7.4571518898010254</v>
      </c>
      <c r="L67" s="440">
        <v>7.6441001892089844</v>
      </c>
      <c r="M67" s="440">
        <v>6.3228263854980469</v>
      </c>
      <c r="N67" s="440">
        <v>9.5948724746704102</v>
      </c>
      <c r="O67" s="440">
        <v>8.5006446838378906</v>
      </c>
      <c r="P67" s="440">
        <v>10.43227481842041</v>
      </c>
      <c r="Q67" s="440">
        <v>4.9304389953613281</v>
      </c>
      <c r="R67" s="440">
        <v>7.273292064666748</v>
      </c>
      <c r="S67" s="440">
        <v>9.7273101806640625</v>
      </c>
      <c r="T67" s="440">
        <v>13.365145683288574</v>
      </c>
      <c r="U67" s="440">
        <v>10.735260963439941</v>
      </c>
      <c r="V67" s="440">
        <v>8.5186080932617188</v>
      </c>
      <c r="W67" s="440">
        <v>5.9156045913696289</v>
      </c>
    </row>
    <row r="68" spans="1:23" s="342" customFormat="1" ht="15.5" x14ac:dyDescent="0.35">
      <c r="A68" s="342" t="s">
        <v>573</v>
      </c>
      <c r="B68" s="440">
        <v>1.6793021932244301E-2</v>
      </c>
      <c r="C68" s="440">
        <v>1.7947211861610413E-2</v>
      </c>
      <c r="D68" s="440">
        <v>1.6002124175429344E-2</v>
      </c>
      <c r="E68" s="440">
        <v>1.5504574403166771E-2</v>
      </c>
      <c r="F68" s="440">
        <v>1.7150867730379105E-2</v>
      </c>
      <c r="G68" s="440">
        <v>1.9614581018686295E-2</v>
      </c>
      <c r="H68" s="440">
        <v>1.6194984316825867E-2</v>
      </c>
      <c r="I68" s="440">
        <v>1.9026979804039001E-2</v>
      </c>
      <c r="J68" s="440">
        <v>2.0992742851376534E-2</v>
      </c>
      <c r="K68" s="440">
        <v>1.715601421892643E-2</v>
      </c>
      <c r="L68" s="440">
        <v>1.692226342856884E-2</v>
      </c>
      <c r="M68" s="440">
        <v>1.7837507650256157E-2</v>
      </c>
      <c r="N68" s="440">
        <v>1.2860380113124847E-2</v>
      </c>
      <c r="O68" s="440">
        <v>1.7184717580676079E-2</v>
      </c>
      <c r="P68" s="440">
        <v>2.0119708031415939E-2</v>
      </c>
      <c r="Q68" s="440">
        <v>1.9498156383633614E-2</v>
      </c>
      <c r="R68" s="440">
        <v>1.887962780892849E-2</v>
      </c>
      <c r="S68" s="440">
        <v>1.3050936162471771E-2</v>
      </c>
      <c r="T68" s="440">
        <v>1.3015135191380978E-2</v>
      </c>
      <c r="U68" s="440">
        <v>1.1936713941395283E-2</v>
      </c>
      <c r="V68" s="440">
        <v>1.3003423810005188E-2</v>
      </c>
      <c r="W68" s="440">
        <v>1.4518763870000839E-2</v>
      </c>
    </row>
    <row r="69" spans="1:23" s="342" customFormat="1" ht="15.5" x14ac:dyDescent="0.35">
      <c r="A69" s="342" t="s">
        <v>575</v>
      </c>
      <c r="B69" s="440">
        <v>1.8862146884202957E-2</v>
      </c>
      <c r="C69" s="440">
        <v>2.271987684071064E-2</v>
      </c>
      <c r="D69" s="440">
        <v>2.0706932991743088E-2</v>
      </c>
      <c r="E69" s="440">
        <v>1.9225059077143669E-2</v>
      </c>
      <c r="F69" s="440">
        <v>2.0579133182764053E-2</v>
      </c>
      <c r="G69" s="440">
        <v>2.5603810325264931E-2</v>
      </c>
      <c r="H69" s="440">
        <v>2.2063843905925751E-2</v>
      </c>
      <c r="I69" s="440">
        <v>2.8338208794593811E-2</v>
      </c>
      <c r="J69" s="440">
        <v>3.0460599809885025E-2</v>
      </c>
      <c r="K69" s="440">
        <v>2.9014900326728821E-2</v>
      </c>
      <c r="L69" s="440">
        <v>2.1609209477901459E-2</v>
      </c>
      <c r="M69" s="440">
        <v>2.4643657729029655E-2</v>
      </c>
      <c r="N69" s="440">
        <v>1.5913806855678558E-2</v>
      </c>
      <c r="O69" s="440">
        <v>2.019602432847023E-2</v>
      </c>
      <c r="P69" s="440">
        <v>2.4295268580317497E-2</v>
      </c>
      <c r="Q69" s="440">
        <v>3.306443989276886E-2</v>
      </c>
      <c r="R69" s="440">
        <v>3.0166422948241234E-2</v>
      </c>
      <c r="S69" s="440">
        <v>1.3141290284693241E-2</v>
      </c>
      <c r="T69" s="440">
        <v>1.2721899896860123E-2</v>
      </c>
      <c r="U69" s="440">
        <v>1.1953837238252163E-2</v>
      </c>
      <c r="V69" s="440">
        <v>1.6672100871801376E-2</v>
      </c>
      <c r="W69" s="440">
        <v>1.5713537111878395E-2</v>
      </c>
    </row>
    <row r="70" spans="1:23" s="342" customFormat="1" ht="15.5" x14ac:dyDescent="0.35">
      <c r="A70" s="342" t="s">
        <v>822</v>
      </c>
      <c r="B70" s="440">
        <v>0.42875379323959351</v>
      </c>
      <c r="C70" s="440">
        <v>0.39696285128593445</v>
      </c>
      <c r="D70" s="440">
        <v>0.41390776634216309</v>
      </c>
      <c r="E70" s="440">
        <v>0.42672926187515259</v>
      </c>
      <c r="F70" s="440">
        <v>0.38977813720703125</v>
      </c>
      <c r="G70" s="440">
        <v>0.3800702691078186</v>
      </c>
      <c r="H70" s="440">
        <v>0.38584110140800476</v>
      </c>
      <c r="I70" s="440">
        <v>0.37419727444648743</v>
      </c>
      <c r="J70" s="440">
        <v>0.39637079834938049</v>
      </c>
      <c r="K70" s="440">
        <v>0.37075722217559814</v>
      </c>
      <c r="L70" s="440">
        <v>0.39575710892677307</v>
      </c>
      <c r="M70" s="440">
        <v>0.40482589602470398</v>
      </c>
      <c r="N70" s="440">
        <v>0.43696615099906921</v>
      </c>
      <c r="O70" s="440">
        <v>0.40924817323684692</v>
      </c>
      <c r="P70" s="440">
        <v>0.40138095617294312</v>
      </c>
      <c r="Q70" s="440">
        <v>0.37614008784294128</v>
      </c>
      <c r="R70" s="440">
        <v>0.39659401774406433</v>
      </c>
      <c r="S70" s="440">
        <v>0.48851725459098816</v>
      </c>
      <c r="T70" s="440">
        <v>0.48210513591766357</v>
      </c>
      <c r="U70" s="440">
        <v>0.45930558443069458</v>
      </c>
      <c r="V70" s="440">
        <v>0.44662073254585266</v>
      </c>
      <c r="W70" s="440">
        <v>0.46419712901115417</v>
      </c>
    </row>
    <row r="71" spans="1:23" s="342" customFormat="1" ht="15.5" x14ac:dyDescent="0.35">
      <c r="A71" s="342" t="s">
        <v>632</v>
      </c>
      <c r="B71" s="440">
        <v>1.4256273861974478E-3</v>
      </c>
      <c r="C71" s="440">
        <v>9.4910967163741589E-4</v>
      </c>
      <c r="D71" s="440">
        <v>1.1199178406968713E-3</v>
      </c>
      <c r="E71" s="440">
        <v>1.4617558335885406E-3</v>
      </c>
      <c r="F71" s="440">
        <v>1.8166473601013422E-3</v>
      </c>
      <c r="G71" s="440">
        <v>1.9016249570995569E-3</v>
      </c>
      <c r="H71" s="440">
        <v>1.4729687245562673E-3</v>
      </c>
      <c r="I71" s="440">
        <v>1.4013797044754028E-3</v>
      </c>
      <c r="J71" s="440">
        <v>1.4253113185986876E-3</v>
      </c>
      <c r="K71" s="440">
        <v>1.1035683564841747E-3</v>
      </c>
      <c r="L71" s="440">
        <v>1.3836268335580826E-3</v>
      </c>
      <c r="M71" s="440">
        <v>1.3744655298069119E-3</v>
      </c>
      <c r="N71" s="440">
        <v>1.3045947998762131E-3</v>
      </c>
      <c r="O71" s="440">
        <v>1.3464016374200583E-3</v>
      </c>
      <c r="P71" s="440">
        <v>1.4151182258501649E-3</v>
      </c>
      <c r="Q71" s="440">
        <v>1.3512235600501299E-3</v>
      </c>
      <c r="R71" s="440">
        <v>1.113172504119575E-3</v>
      </c>
      <c r="S71" s="440">
        <v>1.304787234403193E-3</v>
      </c>
      <c r="T71" s="440">
        <v>1.2782050762325525E-3</v>
      </c>
      <c r="U71" s="440">
        <v>1.7315405420958996E-3</v>
      </c>
      <c r="V71" s="440">
        <v>1.4878526562824845E-3</v>
      </c>
      <c r="W71" s="440">
        <v>1.7039382364600897E-3</v>
      </c>
    </row>
    <row r="72" spans="1:23" s="342" customFormat="1" ht="15.5" x14ac:dyDescent="0.35">
      <c r="A72" s="342" t="s">
        <v>633</v>
      </c>
      <c r="B72" s="440">
        <v>7.1906246244907379E-2</v>
      </c>
      <c r="C72" s="440">
        <v>6.0991592705249786E-2</v>
      </c>
      <c r="D72" s="440">
        <v>6.2801986932754517E-2</v>
      </c>
      <c r="E72" s="440">
        <v>7.3988214135169983E-2</v>
      </c>
      <c r="F72" s="440">
        <v>6.261473149061203E-2</v>
      </c>
      <c r="G72" s="440">
        <v>5.9151791036128998E-2</v>
      </c>
      <c r="H72" s="440">
        <v>6.8094119429588318E-2</v>
      </c>
      <c r="I72" s="440">
        <v>6.0562718659639359E-2</v>
      </c>
      <c r="J72" s="440">
        <v>7.1755148470401764E-2</v>
      </c>
      <c r="K72" s="440">
        <v>7.9081118106842041E-2</v>
      </c>
      <c r="L72" s="440">
        <v>8.0525636672973633E-2</v>
      </c>
      <c r="M72" s="440">
        <v>6.4380981028079987E-2</v>
      </c>
      <c r="N72" s="440">
        <v>7.0785515010356903E-2</v>
      </c>
      <c r="O72" s="440">
        <v>6.6972620785236359E-2</v>
      </c>
      <c r="P72" s="440">
        <v>8.1831373274326324E-2</v>
      </c>
      <c r="Q72" s="440">
        <v>6.2061697244644165E-2</v>
      </c>
      <c r="R72" s="440">
        <v>6.664082407951355E-2</v>
      </c>
      <c r="S72" s="440">
        <v>7.1732670068740845E-2</v>
      </c>
      <c r="T72" s="440">
        <v>6.680501252412796E-2</v>
      </c>
      <c r="U72" s="440">
        <v>7.2748251259326935E-2</v>
      </c>
      <c r="V72" s="440">
        <v>6.0156121850013733E-2</v>
      </c>
      <c r="W72" s="440">
        <v>6.5359644591808319E-2</v>
      </c>
    </row>
    <row r="73" spans="1:23" s="342" customFormat="1" ht="15.5" x14ac:dyDescent="0.35">
      <c r="A73" s="342" t="s">
        <v>613</v>
      </c>
      <c r="B73" s="440">
        <v>0.1104002520442009</v>
      </c>
      <c r="C73" s="440">
        <v>0.11138027906417847</v>
      </c>
      <c r="D73" s="440">
        <v>0.11875169724225998</v>
      </c>
      <c r="E73" s="440">
        <v>0.10547631233930588</v>
      </c>
      <c r="F73" s="440">
        <v>0.1264977753162384</v>
      </c>
      <c r="G73" s="440">
        <v>0.12681646645069122</v>
      </c>
      <c r="H73" s="440">
        <v>0.11524445563554764</v>
      </c>
      <c r="I73" s="440">
        <v>0.11406797170639038</v>
      </c>
      <c r="J73" s="440">
        <v>0.10698126256465912</v>
      </c>
      <c r="K73" s="440">
        <v>0.10492251068353653</v>
      </c>
      <c r="L73" s="440">
        <v>0.10022963583469391</v>
      </c>
      <c r="M73" s="440">
        <v>8.8983915746212006E-2</v>
      </c>
      <c r="N73" s="440">
        <v>7.3282234370708466E-2</v>
      </c>
      <c r="O73" s="440">
        <v>7.9654857516288757E-2</v>
      </c>
      <c r="P73" s="440">
        <v>8.8466547429561615E-2</v>
      </c>
      <c r="Q73" s="440">
        <v>0.10228762030601501</v>
      </c>
      <c r="R73" s="440">
        <v>0.10792235285043716</v>
      </c>
      <c r="S73" s="440">
        <v>0.11274924129247665</v>
      </c>
      <c r="T73" s="440">
        <v>0.11272641271352768</v>
      </c>
      <c r="U73" s="440">
        <v>0.100737564265728</v>
      </c>
      <c r="V73" s="440">
        <v>0.1055254340171814</v>
      </c>
      <c r="W73" s="440">
        <v>0.11040309816598892</v>
      </c>
    </row>
    <row r="74" spans="1:23" s="342" customFormat="1" ht="15.5" x14ac:dyDescent="0.35">
      <c r="A74" s="342" t="s">
        <v>614</v>
      </c>
      <c r="B74" s="440">
        <v>5.5564291775226593E-2</v>
      </c>
      <c r="C74" s="440">
        <v>6.8575434386730194E-2</v>
      </c>
      <c r="D74" s="440">
        <v>6.0007967054843903E-2</v>
      </c>
      <c r="E74" s="440">
        <v>5.2023563534021378E-2</v>
      </c>
      <c r="F74" s="440">
        <v>6.1375025659799576E-2</v>
      </c>
      <c r="G74" s="440">
        <v>7.1136176586151123E-2</v>
      </c>
      <c r="H74" s="440">
        <v>7.1600086987018585E-2</v>
      </c>
      <c r="I74" s="440">
        <v>8.0059230327606201E-2</v>
      </c>
      <c r="J74" s="440">
        <v>6.4044252038002014E-2</v>
      </c>
      <c r="K74" s="440">
        <v>6.8498790264129639E-2</v>
      </c>
      <c r="L74" s="440">
        <v>5.5902872234582901E-2</v>
      </c>
      <c r="M74" s="440">
        <v>6.6931381821632385E-2</v>
      </c>
      <c r="N74" s="440">
        <v>5.6142561137676239E-2</v>
      </c>
      <c r="O74" s="440">
        <v>5.7200353592634201E-2</v>
      </c>
      <c r="P74" s="440">
        <v>4.6135742217302322E-2</v>
      </c>
      <c r="Q74" s="440">
        <v>7.4587538838386536E-2</v>
      </c>
      <c r="R74" s="440">
        <v>6.2963478267192841E-2</v>
      </c>
      <c r="S74" s="440">
        <v>3.7524886429309845E-2</v>
      </c>
      <c r="T74" s="440">
        <v>3.4650634974241257E-2</v>
      </c>
      <c r="U74" s="440">
        <v>3.7890560925006866E-2</v>
      </c>
      <c r="V74" s="440">
        <v>5.246208980679512E-2</v>
      </c>
      <c r="W74" s="440">
        <v>4.1519630700349808E-2</v>
      </c>
    </row>
    <row r="75" spans="1:23" s="342" customFormat="1" ht="15.5" x14ac:dyDescent="0.35">
      <c r="A75" s="342" t="s">
        <v>823</v>
      </c>
      <c r="B75" s="440">
        <v>0.47067427635192871</v>
      </c>
      <c r="C75" s="440">
        <v>0.43143361806869507</v>
      </c>
      <c r="D75" s="440">
        <v>0.44583117961883545</v>
      </c>
      <c r="E75" s="440">
        <v>0.48574548959732056</v>
      </c>
      <c r="F75" s="440">
        <v>0.45173963904380798</v>
      </c>
      <c r="G75" s="440">
        <v>0.4262542724609375</v>
      </c>
      <c r="H75" s="440">
        <v>0.44826582074165344</v>
      </c>
      <c r="I75" s="440">
        <v>0.43226784467697144</v>
      </c>
      <c r="J75" s="440">
        <v>0.46894717216491699</v>
      </c>
      <c r="K75" s="440">
        <v>0.47025734186172485</v>
      </c>
      <c r="L75" s="440">
        <v>0.49026390910148621</v>
      </c>
      <c r="M75" s="440">
        <v>0.44850844144821167</v>
      </c>
      <c r="N75" s="440">
        <v>0.47378721833229065</v>
      </c>
      <c r="O75" s="440">
        <v>0.45744356513023376</v>
      </c>
      <c r="P75" s="440">
        <v>0.50910800695419312</v>
      </c>
      <c r="Q75" s="440">
        <v>0.45016011595726013</v>
      </c>
      <c r="R75" s="440">
        <v>0.47602802515029907</v>
      </c>
      <c r="S75" s="440">
        <v>0.55358970165252686</v>
      </c>
      <c r="T75" s="440">
        <v>0.51192116737365723</v>
      </c>
      <c r="U75" s="440">
        <v>0.48529583215713501</v>
      </c>
      <c r="V75" s="440">
        <v>0.45615929365158081</v>
      </c>
      <c r="W75" s="440">
        <v>0.47026678919792175</v>
      </c>
    </row>
    <row r="76" spans="1:23" s="342" customFormat="1" ht="15.5" x14ac:dyDescent="0.35">
      <c r="A76" s="342" t="s">
        <v>630</v>
      </c>
      <c r="B76" s="440">
        <v>5.2061263471841812E-2</v>
      </c>
      <c r="C76" s="440">
        <v>5.1184128969907761E-2</v>
      </c>
      <c r="D76" s="440">
        <v>5.5510975420475006E-2</v>
      </c>
      <c r="E76" s="440">
        <v>5.523252859711647E-2</v>
      </c>
      <c r="F76" s="440">
        <v>5.6001372635364532E-2</v>
      </c>
      <c r="G76" s="440">
        <v>5.56802898645401E-2</v>
      </c>
      <c r="H76" s="440">
        <v>5.0334103405475616E-2</v>
      </c>
      <c r="I76" s="440">
        <v>4.6144399791955948E-2</v>
      </c>
      <c r="J76" s="440">
        <v>5.0130687654018402E-2</v>
      </c>
      <c r="K76" s="440">
        <v>4.8730000853538513E-2</v>
      </c>
      <c r="L76" s="440">
        <v>5.190049484372139E-2</v>
      </c>
      <c r="M76" s="440">
        <v>4.8091020435094833E-2</v>
      </c>
      <c r="N76" s="440">
        <v>3.9683297276496887E-2</v>
      </c>
      <c r="O76" s="440">
        <v>4.4300958514213562E-2</v>
      </c>
      <c r="P76" s="440">
        <v>5.0925001502037048E-2</v>
      </c>
      <c r="Q76" s="440">
        <v>4.4185008853673935E-2</v>
      </c>
      <c r="R76" s="440">
        <v>5.2141886204481125E-2</v>
      </c>
      <c r="S76" s="440">
        <v>6.3786029815673828E-2</v>
      </c>
      <c r="T76" s="440">
        <v>7.4647180736064911E-2</v>
      </c>
      <c r="U76" s="440">
        <v>6.3018232583999634E-2</v>
      </c>
      <c r="V76" s="440">
        <v>5.5284932255744934E-2</v>
      </c>
      <c r="W76" s="440">
        <v>5.9093382209539413E-2</v>
      </c>
    </row>
    <row r="77" spans="1:23" s="342" customFormat="1" ht="15.5" x14ac:dyDescent="0.35">
      <c r="A77" s="342" t="s">
        <v>618</v>
      </c>
      <c r="B77" s="440">
        <v>2.7434533461928368E-2</v>
      </c>
      <c r="C77" s="440">
        <v>3.2581578940153122E-2</v>
      </c>
      <c r="D77" s="440">
        <v>2.8921589255332947E-2</v>
      </c>
      <c r="E77" s="440">
        <v>2.5915034115314484E-2</v>
      </c>
      <c r="F77" s="440">
        <v>3.3934589475393295E-2</v>
      </c>
      <c r="G77" s="440">
        <v>3.3725704997777939E-2</v>
      </c>
      <c r="H77" s="440">
        <v>3.604937344789505E-2</v>
      </c>
      <c r="I77" s="440">
        <v>3.8465704768896103E-2</v>
      </c>
      <c r="J77" s="440">
        <v>3.0053932219743729E-2</v>
      </c>
      <c r="K77" s="440">
        <v>3.2116822898387909E-2</v>
      </c>
      <c r="L77" s="440">
        <v>2.7107495814561844E-2</v>
      </c>
      <c r="M77" s="440">
        <v>2.769293449819088E-2</v>
      </c>
      <c r="N77" s="440">
        <v>2.3690765723586082E-2</v>
      </c>
      <c r="O77" s="440">
        <v>2.3337628692388535E-2</v>
      </c>
      <c r="P77" s="440">
        <v>2.1823626011610031E-2</v>
      </c>
      <c r="Q77" s="440">
        <v>3.4267030656337738E-2</v>
      </c>
      <c r="R77" s="440">
        <v>2.9939357191324234E-2</v>
      </c>
      <c r="S77" s="440">
        <v>2.4121718481183052E-2</v>
      </c>
      <c r="T77" s="440">
        <v>1.8206903710961342E-2</v>
      </c>
      <c r="U77" s="440">
        <v>1.8875718116760254E-2</v>
      </c>
      <c r="V77" s="440">
        <v>2.3673161864280701E-2</v>
      </c>
      <c r="W77" s="440">
        <v>2.0220402628183365E-2</v>
      </c>
    </row>
    <row r="78" spans="1:23" s="342" customFormat="1" ht="15.5" x14ac:dyDescent="0.35">
      <c r="A78" s="342" t="s">
        <v>619</v>
      </c>
      <c r="B78" s="440">
        <v>1.0266999714076519E-2</v>
      </c>
      <c r="C78" s="440">
        <v>1.1145259253680706E-2</v>
      </c>
      <c r="D78" s="440">
        <v>1.0714265517890453E-2</v>
      </c>
      <c r="E78" s="440">
        <v>9.5234448090195656E-3</v>
      </c>
      <c r="F78" s="440">
        <v>1.0942797176539898E-2</v>
      </c>
      <c r="G78" s="440">
        <v>1.2452385388314724E-2</v>
      </c>
      <c r="H78" s="440">
        <v>1.3195345178246498E-2</v>
      </c>
      <c r="I78" s="440">
        <v>1.3977679423987865E-2</v>
      </c>
      <c r="J78" s="440">
        <v>1.130378432571888E-2</v>
      </c>
      <c r="K78" s="440">
        <v>1.142938993871212E-2</v>
      </c>
      <c r="L78" s="440">
        <v>9.6057029440999031E-3</v>
      </c>
      <c r="M78" s="440">
        <v>1.0893912054598331E-2</v>
      </c>
      <c r="N78" s="440">
        <v>9.7732143476605415E-3</v>
      </c>
      <c r="O78" s="440">
        <v>8.2231843844056129E-3</v>
      </c>
      <c r="P78" s="440">
        <v>7.2897840291261673E-3</v>
      </c>
      <c r="Q78" s="440">
        <v>1.2958233244717121E-2</v>
      </c>
      <c r="R78" s="440">
        <v>1.0024091228842735E-2</v>
      </c>
      <c r="S78" s="440">
        <v>7.8562898561358452E-3</v>
      </c>
      <c r="T78" s="440">
        <v>5.0413911230862141E-3</v>
      </c>
      <c r="U78" s="440">
        <v>5.9929708950221539E-3</v>
      </c>
      <c r="V78" s="440">
        <v>8.4889121353626251E-3</v>
      </c>
      <c r="W78" s="440">
        <v>6.3620414584875107E-3</v>
      </c>
    </row>
    <row r="79" spans="1:23" s="342" customFormat="1" ht="15.5" x14ac:dyDescent="0.35">
      <c r="A79" s="342" t="s">
        <v>620</v>
      </c>
      <c r="B79" s="440">
        <v>6.1494405381381512E-3</v>
      </c>
      <c r="C79" s="440">
        <v>6.5714544616639614E-3</v>
      </c>
      <c r="D79" s="440">
        <v>6.6040512174367905E-3</v>
      </c>
      <c r="E79" s="440">
        <v>5.5634849704802036E-3</v>
      </c>
      <c r="F79" s="440">
        <v>6.3558816909790039E-3</v>
      </c>
      <c r="G79" s="440">
        <v>6.7652827128767967E-3</v>
      </c>
      <c r="H79" s="440">
        <v>7.7561009675264359E-3</v>
      </c>
      <c r="I79" s="440">
        <v>6.9924513809382915E-3</v>
      </c>
      <c r="J79" s="440">
        <v>6.1158095486462116E-3</v>
      </c>
      <c r="K79" s="440">
        <v>5.7087293826043606E-3</v>
      </c>
      <c r="L79" s="440">
        <v>5.2230102010071278E-3</v>
      </c>
      <c r="M79" s="440">
        <v>6.9639584980905056E-3</v>
      </c>
      <c r="N79" s="440">
        <v>6.8603688850998878E-3</v>
      </c>
      <c r="O79" s="440">
        <v>5.4000839591026306E-3</v>
      </c>
      <c r="P79" s="440">
        <v>4.0985480882227421E-3</v>
      </c>
      <c r="Q79" s="440">
        <v>6.22914033010602E-3</v>
      </c>
      <c r="R79" s="440">
        <v>4.9234349280595779E-3</v>
      </c>
      <c r="S79" s="440">
        <v>4.7489968128502369E-3</v>
      </c>
      <c r="T79" s="440">
        <v>2.3947549052536488E-3</v>
      </c>
      <c r="U79" s="440">
        <v>3.3089763019233942E-3</v>
      </c>
      <c r="V79" s="440">
        <v>5.2176746539771557E-3</v>
      </c>
      <c r="W79" s="440">
        <v>3.3524227328598499E-3</v>
      </c>
    </row>
    <row r="80" spans="1:23" s="342" customFormat="1" ht="15.5" x14ac:dyDescent="0.35">
      <c r="A80" s="342" t="s">
        <v>824</v>
      </c>
      <c r="B80" s="440">
        <v>0.34859174489974976</v>
      </c>
      <c r="C80" s="440">
        <v>0.36904999613761902</v>
      </c>
      <c r="D80" s="440">
        <v>0.35777333378791809</v>
      </c>
      <c r="E80" s="440">
        <v>0.35240575671195984</v>
      </c>
      <c r="F80" s="440">
        <v>0.36152711510658264</v>
      </c>
      <c r="G80" s="440">
        <v>0.38517680764198303</v>
      </c>
      <c r="H80" s="440">
        <v>0.37449461221694946</v>
      </c>
      <c r="I80" s="440">
        <v>0.38246831297874451</v>
      </c>
      <c r="J80" s="440">
        <v>0.38175049424171448</v>
      </c>
      <c r="K80" s="440">
        <v>0.39716532826423645</v>
      </c>
      <c r="L80" s="440">
        <v>0.36545857787132263</v>
      </c>
      <c r="M80" s="440">
        <v>0.37092751264572144</v>
      </c>
      <c r="N80" s="440">
        <v>0.33412808179855347</v>
      </c>
      <c r="O80" s="440">
        <v>0.35773745179176331</v>
      </c>
      <c r="P80" s="440">
        <v>0.35658091306686401</v>
      </c>
      <c r="Q80" s="440">
        <v>0.40157011151313782</v>
      </c>
      <c r="R80" s="440">
        <v>0.39100602269172668</v>
      </c>
      <c r="S80" s="440">
        <v>0.27483689785003662</v>
      </c>
      <c r="T80" s="440">
        <v>0.3125549852848053</v>
      </c>
      <c r="U80" s="440">
        <v>0.26270401477813721</v>
      </c>
      <c r="V80" s="440">
        <v>0.31705528497695923</v>
      </c>
      <c r="W80" s="440">
        <v>0.32230645418167114</v>
      </c>
    </row>
    <row r="81" spans="1:23" s="342" customFormat="1" ht="15.5" x14ac:dyDescent="0.35">
      <c r="A81" s="342" t="s">
        <v>825</v>
      </c>
      <c r="B81" s="440">
        <v>0.26378452777862549</v>
      </c>
      <c r="C81" s="440">
        <v>0.21939799189567566</v>
      </c>
      <c r="D81" s="440">
        <v>0.23633728921413422</v>
      </c>
      <c r="E81" s="440">
        <v>0.27280807495117188</v>
      </c>
      <c r="F81" s="440">
        <v>0.22716674208641052</v>
      </c>
      <c r="G81" s="440">
        <v>0.22160151600837708</v>
      </c>
      <c r="H81" s="440">
        <v>0.23371870815753937</v>
      </c>
      <c r="I81" s="440">
        <v>0.22260266542434692</v>
      </c>
      <c r="J81" s="440">
        <v>0.23738342523574829</v>
      </c>
      <c r="K81" s="440">
        <v>0.22307591140270233</v>
      </c>
      <c r="L81" s="440">
        <v>0.25079503655433655</v>
      </c>
      <c r="M81" s="440">
        <v>0.21001324057579041</v>
      </c>
      <c r="N81" s="440">
        <v>0.25498640537261963</v>
      </c>
      <c r="O81" s="440">
        <v>0.20482677221298218</v>
      </c>
      <c r="P81" s="440">
        <v>0.23887580633163452</v>
      </c>
      <c r="Q81" s="440">
        <v>0.21269609034061432</v>
      </c>
      <c r="R81" s="440">
        <v>0.22538697719573975</v>
      </c>
      <c r="S81" s="440">
        <v>0.37367299199104309</v>
      </c>
      <c r="T81" s="440">
        <v>0.25788915157318115</v>
      </c>
      <c r="U81" s="440">
        <v>0.33543729782104492</v>
      </c>
      <c r="V81" s="440">
        <v>0.25344449281692505</v>
      </c>
      <c r="W81" s="440">
        <v>0.25583773851394653</v>
      </c>
    </row>
    <row r="82" spans="1:23" s="342" customFormat="1" ht="15.5" x14ac:dyDescent="0.35">
      <c r="A82" s="342" t="s">
        <v>826</v>
      </c>
      <c r="B82" s="440">
        <v>26884.736328125</v>
      </c>
      <c r="C82" s="440">
        <v>26120.02734375</v>
      </c>
      <c r="D82" s="440">
        <v>26738.330078125</v>
      </c>
      <c r="E82" s="440">
        <v>26715.767578125</v>
      </c>
      <c r="F82" s="440">
        <v>25772.84765625</v>
      </c>
      <c r="G82" s="440">
        <v>25509.4765625</v>
      </c>
      <c r="H82" s="440">
        <v>25487.61328125</v>
      </c>
      <c r="I82" s="440">
        <v>24924.666015625</v>
      </c>
      <c r="J82" s="440">
        <v>25600.158203125</v>
      </c>
      <c r="K82" s="440">
        <v>24169.0546875</v>
      </c>
      <c r="L82" s="440">
        <v>25371.42578125</v>
      </c>
      <c r="M82" s="440">
        <v>25640.623046875</v>
      </c>
      <c r="N82" s="440">
        <v>26811.123046875</v>
      </c>
      <c r="O82" s="440">
        <v>25658.46484375</v>
      </c>
      <c r="P82" s="440">
        <v>25787.580078125</v>
      </c>
      <c r="Q82" s="440">
        <v>24793.427734375</v>
      </c>
      <c r="R82" s="440">
        <v>25257.9140625</v>
      </c>
      <c r="S82" s="440">
        <v>30825.4453125</v>
      </c>
      <c r="T82" s="440">
        <v>28846.52734375</v>
      </c>
      <c r="U82" s="440">
        <v>32417.56640625</v>
      </c>
      <c r="V82" s="440">
        <v>29834.255859375</v>
      </c>
      <c r="W82" s="440">
        <v>30046.10546875</v>
      </c>
    </row>
    <row r="83" spans="1:23" s="342" customFormat="1" ht="15.5" x14ac:dyDescent="0.35">
      <c r="A83" s="342" t="s">
        <v>827</v>
      </c>
      <c r="B83" s="440">
        <v>937200000</v>
      </c>
      <c r="C83" s="440">
        <v>860021696</v>
      </c>
      <c r="D83" s="440">
        <v>889918784</v>
      </c>
      <c r="E83" s="440">
        <v>915902848</v>
      </c>
      <c r="F83" s="440">
        <v>841302272</v>
      </c>
      <c r="G83" s="440">
        <v>812225664</v>
      </c>
      <c r="H83" s="440">
        <v>815878080</v>
      </c>
      <c r="I83" s="440">
        <v>784114688</v>
      </c>
      <c r="J83" s="440">
        <v>831276544</v>
      </c>
      <c r="K83" s="440">
        <v>741497920</v>
      </c>
      <c r="L83" s="440">
        <v>813077184</v>
      </c>
      <c r="M83" s="440">
        <v>825285056</v>
      </c>
      <c r="N83" s="440">
        <v>898631360</v>
      </c>
      <c r="O83" s="440">
        <v>811103872</v>
      </c>
      <c r="P83" s="440">
        <v>835778560</v>
      </c>
      <c r="Q83" s="440">
        <v>762480064</v>
      </c>
      <c r="R83" s="440">
        <v>798700480</v>
      </c>
      <c r="S83" s="440">
        <v>1297647232</v>
      </c>
      <c r="T83" s="440">
        <v>1035157376</v>
      </c>
      <c r="U83" s="440">
        <v>1389365376</v>
      </c>
      <c r="V83" s="440">
        <v>1123701376</v>
      </c>
      <c r="W83" s="440">
        <v>1119846272</v>
      </c>
    </row>
    <row r="84" spans="1:23" s="342" customFormat="1" ht="15.5" x14ac:dyDescent="0.35">
      <c r="A84" s="342" t="s">
        <v>828</v>
      </c>
      <c r="B84" s="440">
        <v>42078075617280</v>
      </c>
      <c r="C84" s="440">
        <v>35781427068928</v>
      </c>
      <c r="D84" s="440">
        <v>36882419286016</v>
      </c>
      <c r="E84" s="440">
        <v>40047667576832</v>
      </c>
      <c r="F84" s="440">
        <v>34933821145088</v>
      </c>
      <c r="G84" s="440">
        <v>31974198607872</v>
      </c>
      <c r="H84" s="440">
        <v>32602731839488</v>
      </c>
      <c r="I84" s="440">
        <v>31264604160000</v>
      </c>
      <c r="J84" s="440">
        <v>34208506445824</v>
      </c>
      <c r="K84" s="440">
        <v>29072589586432</v>
      </c>
      <c r="L84" s="440">
        <v>32872327020544</v>
      </c>
      <c r="M84" s="440">
        <v>33972379713536</v>
      </c>
      <c r="N84" s="440">
        <v>37940205977600</v>
      </c>
      <c r="O84" s="440">
        <v>32165542756352</v>
      </c>
      <c r="P84" s="440">
        <v>34367770460160</v>
      </c>
      <c r="Q84" s="440">
        <v>29138635194368</v>
      </c>
      <c r="R84" s="440">
        <v>31247187312640</v>
      </c>
      <c r="S84" s="440">
        <v>70565071159296</v>
      </c>
      <c r="T84" s="440">
        <v>45438329683968</v>
      </c>
      <c r="U84" s="440">
        <v>75498008870912</v>
      </c>
      <c r="V84" s="440">
        <v>52723076562944</v>
      </c>
      <c r="W84" s="440">
        <v>51333990187008</v>
      </c>
    </row>
    <row r="85" spans="1:23" s="342" customFormat="1" ht="15.5" x14ac:dyDescent="0.35">
      <c r="A85" s="342" t="s">
        <v>833</v>
      </c>
      <c r="B85" s="440">
        <v>2.0641595125198364E-2</v>
      </c>
      <c r="C85" s="440">
        <v>1.7798066139221191E-2</v>
      </c>
      <c r="D85" s="440">
        <v>1.5776986256241798E-2</v>
      </c>
      <c r="E85" s="440">
        <v>1.3142392039299011E-2</v>
      </c>
      <c r="F85" s="440">
        <v>1.4046831987798214E-2</v>
      </c>
      <c r="G85" s="440">
        <v>1.2091017328202724E-2</v>
      </c>
      <c r="H85" s="440">
        <v>8.2010598853230476E-3</v>
      </c>
      <c r="I85" s="440">
        <v>7.353631779551506E-3</v>
      </c>
      <c r="J85" s="440">
        <v>6.9094039499759674E-3</v>
      </c>
      <c r="K85" s="440">
        <v>5.8161038905382156E-3</v>
      </c>
      <c r="L85" s="440">
        <v>8.1061702221632004E-3</v>
      </c>
      <c r="M85" s="440">
        <v>9.7128897905349731E-3</v>
      </c>
      <c r="N85" s="440">
        <v>1.6970979049801826E-2</v>
      </c>
      <c r="O85" s="440">
        <v>7.238718681037426E-3</v>
      </c>
      <c r="P85" s="440">
        <v>6.5292781218886375E-3</v>
      </c>
      <c r="Q85" s="440">
        <v>3.9320606738328934E-3</v>
      </c>
      <c r="R85" s="440">
        <v>9.6751861274242401E-3</v>
      </c>
      <c r="S85" s="440">
        <v>4.5414868742227554E-2</v>
      </c>
      <c r="T85" s="440">
        <v>5.5710945278406143E-2</v>
      </c>
      <c r="U85" s="440">
        <v>3.9136242121458054E-2</v>
      </c>
      <c r="V85" s="440">
        <v>2.0300015807151794E-2</v>
      </c>
      <c r="W85" s="440">
        <v>2.2075578570365906E-2</v>
      </c>
    </row>
    <row r="86" spans="1:23" s="342" customFormat="1" ht="15.5" x14ac:dyDescent="0.35">
      <c r="A86" s="342" t="s">
        <v>829</v>
      </c>
      <c r="B86" s="440">
        <v>1.4084536582231522E-2</v>
      </c>
      <c r="C86" s="440">
        <v>2.5806743651628494E-3</v>
      </c>
      <c r="D86" s="440">
        <v>5.6573166511952877E-3</v>
      </c>
      <c r="E86" s="440">
        <v>9.579002857208252E-3</v>
      </c>
      <c r="F86" s="440">
        <v>9.4408448785543442E-3</v>
      </c>
      <c r="G86" s="440">
        <v>3.969123587012291E-3</v>
      </c>
      <c r="H86" s="440">
        <v>3.0303262174129486E-3</v>
      </c>
      <c r="I86" s="440">
        <v>3.7129339762032032E-3</v>
      </c>
      <c r="J86" s="440">
        <v>3.9403345435857773E-3</v>
      </c>
      <c r="K86" s="440">
        <v>2.2966153919696808E-3</v>
      </c>
      <c r="L86" s="440">
        <v>5.3642704151570797E-3</v>
      </c>
      <c r="M86" s="440">
        <v>9.6212583594024181E-4</v>
      </c>
      <c r="N86" s="440">
        <v>1.0774153284728527E-2</v>
      </c>
      <c r="O86" s="440">
        <v>2.8231001924723387E-3</v>
      </c>
      <c r="P86" s="440">
        <v>4.3849409557878971E-3</v>
      </c>
      <c r="Q86" s="440">
        <v>3.5672301892191172E-3</v>
      </c>
      <c r="R86" s="440">
        <v>4.6354499645531178E-3</v>
      </c>
      <c r="S86" s="440">
        <v>1.8705014139413834E-2</v>
      </c>
      <c r="T86" s="440">
        <v>1.9518943503499031E-2</v>
      </c>
      <c r="U86" s="440">
        <v>1.6930144280195236E-2</v>
      </c>
      <c r="V86" s="440">
        <v>4.7081364318728447E-3</v>
      </c>
      <c r="W86" s="440">
        <v>4.1338144801557064E-3</v>
      </c>
    </row>
    <row r="87" spans="1:23" s="342" customFormat="1" ht="15.5" x14ac:dyDescent="0.35">
      <c r="A87" s="342" t="s">
        <v>625</v>
      </c>
      <c r="B87" s="440">
        <v>2.0385023206472397E-2</v>
      </c>
      <c r="C87" s="440">
        <v>8.5555454716086388E-3</v>
      </c>
      <c r="D87" s="440">
        <v>8.1626996397972107E-3</v>
      </c>
      <c r="E87" s="440">
        <v>1.1358781717717648E-2</v>
      </c>
      <c r="F87" s="440">
        <v>2.0135700702667236E-2</v>
      </c>
      <c r="G87" s="440">
        <v>3.3287324011325836E-2</v>
      </c>
      <c r="H87" s="440">
        <v>4.0498968213796616E-2</v>
      </c>
      <c r="I87" s="440">
        <v>1.4707263559103012E-2</v>
      </c>
      <c r="J87" s="440">
        <v>1.0514138266444206E-2</v>
      </c>
      <c r="K87" s="440">
        <v>2.1558357402682304E-2</v>
      </c>
      <c r="L87" s="440">
        <v>1.0340980254113674E-2</v>
      </c>
      <c r="M87" s="440">
        <v>6.4090816304087639E-3</v>
      </c>
      <c r="N87" s="440">
        <v>1.6234332695603371E-2</v>
      </c>
      <c r="O87" s="440">
        <v>6.1239558272063732E-3</v>
      </c>
      <c r="P87" s="440">
        <v>6.5244650468230247E-3</v>
      </c>
      <c r="Q87" s="440">
        <v>1.3566284440457821E-2</v>
      </c>
      <c r="R87" s="440">
        <v>5.8483094908297062E-3</v>
      </c>
      <c r="S87" s="440">
        <v>3.3749885857105255E-2</v>
      </c>
      <c r="T87" s="440">
        <v>4.7519154846668243E-2</v>
      </c>
      <c r="U87" s="440">
        <v>2.5703424587845802E-2</v>
      </c>
      <c r="V87" s="440">
        <v>1.5816077589988708E-2</v>
      </c>
      <c r="W87" s="440">
        <v>1.1267165653407574E-2</v>
      </c>
    </row>
    <row r="88" spans="1:23" s="342" customFormat="1" ht="15.5" x14ac:dyDescent="0.35">
      <c r="A88" s="342" t="s">
        <v>626</v>
      </c>
      <c r="B88" s="440">
        <v>8.2827089354395866E-3</v>
      </c>
      <c r="C88" s="440">
        <v>3.5975775681436062E-3</v>
      </c>
      <c r="D88" s="440">
        <v>5.8766822330653667E-3</v>
      </c>
      <c r="E88" s="440">
        <v>7.9869721084833145E-3</v>
      </c>
      <c r="F88" s="440">
        <v>4.8682335764169693E-3</v>
      </c>
      <c r="G88" s="440">
        <v>4.7451765276491642E-3</v>
      </c>
      <c r="H88" s="440">
        <v>6.3291625119745731E-3</v>
      </c>
      <c r="I88" s="440">
        <v>5.0781955942511559E-3</v>
      </c>
      <c r="J88" s="440">
        <v>4.9155475571751595E-3</v>
      </c>
      <c r="K88" s="440">
        <v>4.1040815412998199E-3</v>
      </c>
      <c r="L88" s="440">
        <v>5.3715147078037262E-3</v>
      </c>
      <c r="M88" s="440">
        <v>3.2172673381865025E-3</v>
      </c>
      <c r="N88" s="440">
        <v>1.6431145370006561E-2</v>
      </c>
      <c r="O88" s="440">
        <v>8.3245262503623962E-3</v>
      </c>
      <c r="P88" s="440">
        <v>6.5100248903036118E-3</v>
      </c>
      <c r="Q88" s="440">
        <v>2.6078615337610245E-3</v>
      </c>
      <c r="R88" s="440">
        <v>6.8064131774008274E-3</v>
      </c>
      <c r="S88" s="440">
        <v>2.4594934657216072E-2</v>
      </c>
      <c r="T88" s="440">
        <v>2.8616756200790405E-2</v>
      </c>
      <c r="U88" s="440">
        <v>2.417735755443573E-2</v>
      </c>
      <c r="V88" s="440">
        <v>1.0262106545269489E-2</v>
      </c>
      <c r="W88" s="440">
        <v>7.0022786967456341E-3</v>
      </c>
    </row>
    <row r="89" spans="1:23" s="342" customFormat="1" ht="15.5" x14ac:dyDescent="0.35">
      <c r="A89" s="342" t="s">
        <v>830</v>
      </c>
      <c r="B89" s="440">
        <v>9.7662713378667831E-3</v>
      </c>
      <c r="C89" s="440">
        <v>2.8744463343173265E-3</v>
      </c>
      <c r="D89" s="440">
        <v>5.7439082302153111E-3</v>
      </c>
      <c r="E89" s="440">
        <v>6.4275111071765423E-3</v>
      </c>
      <c r="F89" s="440">
        <v>4.4629448093473911E-3</v>
      </c>
      <c r="G89" s="440">
        <v>7.6835127547383308E-3</v>
      </c>
      <c r="H89" s="440">
        <v>4.6183709055185318E-3</v>
      </c>
      <c r="I89" s="440">
        <v>2.4776970967650414E-3</v>
      </c>
      <c r="J89" s="440">
        <v>4.0982635691761971E-3</v>
      </c>
      <c r="K89" s="440">
        <v>3.6745844408869743E-3</v>
      </c>
      <c r="L89" s="440">
        <v>4.8716706223785877E-3</v>
      </c>
      <c r="M89" s="440">
        <v>2.1227856632322073E-3</v>
      </c>
      <c r="N89" s="440">
        <v>1.3462068513035774E-2</v>
      </c>
      <c r="O89" s="440">
        <v>5.2987420931458473E-3</v>
      </c>
      <c r="P89" s="440">
        <v>5.1021268591284752E-3</v>
      </c>
      <c r="Q89" s="440">
        <v>4.3239151127636433E-3</v>
      </c>
      <c r="R89" s="440">
        <v>3.7271897308528423E-3</v>
      </c>
      <c r="S89" s="440">
        <v>3.6362521350383759E-2</v>
      </c>
      <c r="T89" s="440">
        <v>2.9195709154009819E-2</v>
      </c>
      <c r="U89" s="440">
        <v>2.0048629492521286E-2</v>
      </c>
      <c r="V89" s="440">
        <v>6.8583888933062553E-3</v>
      </c>
      <c r="W89" s="440">
        <v>6.0091549530625343E-3</v>
      </c>
    </row>
    <row r="90" spans="1:23" s="342" customFormat="1" ht="15.5" x14ac:dyDescent="0.35">
      <c r="A90" s="342" t="s">
        <v>634</v>
      </c>
      <c r="B90" s="440">
        <v>386.060546875</v>
      </c>
      <c r="C90" s="440">
        <v>405.77239990234375</v>
      </c>
      <c r="D90" s="440">
        <v>421.94638061523438</v>
      </c>
      <c r="E90" s="440">
        <v>370.97891235351563</v>
      </c>
      <c r="F90" s="440">
        <v>401.23068237304688</v>
      </c>
      <c r="G90" s="440">
        <v>433.762939453125</v>
      </c>
      <c r="H90" s="440">
        <v>395.25564575195313</v>
      </c>
      <c r="I90" s="440">
        <v>443.48358154296875</v>
      </c>
      <c r="J90" s="440">
        <v>423.0877685546875</v>
      </c>
      <c r="K90" s="440">
        <v>413.33340454101563</v>
      </c>
      <c r="L90" s="440">
        <v>384.51129150390625</v>
      </c>
      <c r="M90" s="440">
        <v>398.30404663085938</v>
      </c>
      <c r="N90" s="440">
        <v>342.406005859375</v>
      </c>
      <c r="O90" s="440">
        <v>369.66305541992188</v>
      </c>
      <c r="P90" s="440">
        <v>373.81454467773438</v>
      </c>
      <c r="Q90" s="440">
        <v>427.76248168945313</v>
      </c>
      <c r="R90" s="440">
        <v>406.99972534179688</v>
      </c>
      <c r="S90" s="440">
        <v>305.69793701171875</v>
      </c>
      <c r="T90" s="440">
        <v>308.8892822265625</v>
      </c>
      <c r="U90" s="440">
        <v>312.48867797851563</v>
      </c>
      <c r="V90" s="440">
        <v>347.9569091796875</v>
      </c>
      <c r="W90" s="440">
        <v>360.29083251953125</v>
      </c>
    </row>
    <row r="91" spans="1:23" s="342" customFormat="1" ht="15.5" x14ac:dyDescent="0.35">
      <c r="A91" s="342" t="s">
        <v>831</v>
      </c>
      <c r="B91" s="440">
        <v>97.674263000488281</v>
      </c>
      <c r="C91" s="440">
        <v>92.764266967773438</v>
      </c>
      <c r="D91" s="440">
        <v>77.306350708007813</v>
      </c>
      <c r="E91" s="440">
        <v>82.69158935546875</v>
      </c>
      <c r="F91" s="440">
        <v>73.549873352050781</v>
      </c>
      <c r="G91" s="440">
        <v>91.553153991699219</v>
      </c>
      <c r="H91" s="440">
        <v>73.566230773925781</v>
      </c>
      <c r="I91" s="440">
        <v>64.35723876953125</v>
      </c>
      <c r="J91" s="440">
        <v>71.231658935546875</v>
      </c>
      <c r="K91" s="440">
        <v>68.954902648925781</v>
      </c>
      <c r="L91" s="440">
        <v>65.384086608886719</v>
      </c>
      <c r="M91" s="440">
        <v>70.68536376953125</v>
      </c>
      <c r="N91" s="440">
        <v>54.337673187255859</v>
      </c>
      <c r="O91" s="440">
        <v>58.734439849853516</v>
      </c>
      <c r="P91" s="440">
        <v>66.892868041992188</v>
      </c>
      <c r="Q91" s="440">
        <v>60.613018035888672</v>
      </c>
      <c r="R91" s="440">
        <v>59.563846588134766</v>
      </c>
      <c r="S91" s="440">
        <v>110.41114807128906</v>
      </c>
      <c r="T91" s="440">
        <v>95.20703125</v>
      </c>
      <c r="U91" s="440">
        <v>107.68576049804688</v>
      </c>
      <c r="V91" s="440">
        <v>95.934295654296875</v>
      </c>
      <c r="W91" s="440">
        <v>94.813385009765625</v>
      </c>
    </row>
    <row r="92" spans="1:23" s="342" customFormat="1" ht="32.5" customHeight="1" x14ac:dyDescent="0.35">
      <c r="A92" s="342" t="s">
        <v>636</v>
      </c>
      <c r="B92" s="440">
        <v>75.663078308105469</v>
      </c>
      <c r="C92" s="440">
        <v>58.229766845703125</v>
      </c>
      <c r="D92" s="440">
        <v>59.502651214599609</v>
      </c>
      <c r="E92" s="440">
        <v>69.2357177734375</v>
      </c>
      <c r="F92" s="440">
        <v>62.273040771484375</v>
      </c>
      <c r="G92" s="440">
        <v>58.112689971923828</v>
      </c>
      <c r="H92" s="440">
        <v>49.273994445800781</v>
      </c>
      <c r="I92" s="440">
        <v>59.791316986083984</v>
      </c>
      <c r="J92" s="440">
        <v>51.866622924804688</v>
      </c>
      <c r="K92" s="440">
        <v>43.559928894042969</v>
      </c>
      <c r="L92" s="440">
        <v>50.252792358398438</v>
      </c>
      <c r="M92" s="440">
        <v>45.678409576416016</v>
      </c>
      <c r="N92" s="440">
        <v>69.226554870605469</v>
      </c>
      <c r="O92" s="440">
        <v>44.349773406982422</v>
      </c>
      <c r="P92" s="440">
        <v>43.776027679443359</v>
      </c>
      <c r="Q92" s="440">
        <v>43.121170043945313</v>
      </c>
      <c r="R92" s="440">
        <v>41.593593597412109</v>
      </c>
      <c r="S92" s="440">
        <v>79.542106628417969</v>
      </c>
      <c r="T92" s="440">
        <v>58.749710083007813</v>
      </c>
      <c r="U92" s="440">
        <v>72.505905151367188</v>
      </c>
      <c r="V92" s="440">
        <v>68.009361267089844</v>
      </c>
      <c r="W92" s="440">
        <v>61.309211730957031</v>
      </c>
    </row>
    <row r="93" spans="1:23" s="342" customFormat="1" ht="15.5" x14ac:dyDescent="0.35">
      <c r="A93" s="342" t="s">
        <v>628</v>
      </c>
      <c r="B93" s="440">
        <v>20.501131057739258</v>
      </c>
      <c r="C93" s="440">
        <v>25.063871383666992</v>
      </c>
      <c r="D93" s="440">
        <v>14.668210029602051</v>
      </c>
      <c r="E93" s="440">
        <v>18.49424934387207</v>
      </c>
      <c r="F93" s="440">
        <v>18.155712127685547</v>
      </c>
      <c r="G93" s="440">
        <v>27.856590270996094</v>
      </c>
      <c r="H93" s="440">
        <v>25.042516708374023</v>
      </c>
      <c r="I93" s="440">
        <v>22.887449264526367</v>
      </c>
      <c r="J93" s="440">
        <v>32.984188079833984</v>
      </c>
      <c r="K93" s="440">
        <v>29.99336051940918</v>
      </c>
      <c r="L93" s="440">
        <v>26.267555236816406</v>
      </c>
      <c r="M93" s="440">
        <v>31.525350570678711</v>
      </c>
      <c r="N93" s="440">
        <v>23.211877822875977</v>
      </c>
      <c r="O93" s="440">
        <v>20.516525268554688</v>
      </c>
      <c r="P93" s="440">
        <v>28.309822082519531</v>
      </c>
      <c r="Q93" s="440">
        <v>30.764171600341797</v>
      </c>
      <c r="R93" s="440">
        <v>44.845058441162109</v>
      </c>
      <c r="S93" s="440">
        <v>13.147921562194824</v>
      </c>
      <c r="T93" s="440">
        <v>12.42497730255127</v>
      </c>
      <c r="U93" s="440">
        <v>16.265163421630859</v>
      </c>
      <c r="V93" s="440">
        <v>16.200891494750977</v>
      </c>
      <c r="W93" s="440">
        <v>17.037723541259766</v>
      </c>
    </row>
    <row r="94" spans="1:23" s="342" customFormat="1" ht="15.5" x14ac:dyDescent="0.35">
      <c r="A94" s="342" t="s">
        <v>832</v>
      </c>
      <c r="B94" s="440">
        <v>1425.150634765625</v>
      </c>
      <c r="C94" s="440">
        <v>1404.92333984375</v>
      </c>
      <c r="D94" s="440">
        <v>701.633056640625</v>
      </c>
      <c r="E94" s="440">
        <v>1209.4453125</v>
      </c>
      <c r="F94" s="440">
        <v>978.54339599609375</v>
      </c>
      <c r="G94" s="440">
        <v>1467.7943115234375</v>
      </c>
      <c r="H94" s="440">
        <v>1386.328125</v>
      </c>
      <c r="I94" s="440">
        <v>1251.833984375</v>
      </c>
      <c r="J94" s="440">
        <v>2172.008056640625</v>
      </c>
      <c r="K94" s="440">
        <v>1931.4478759765625</v>
      </c>
      <c r="L94" s="440">
        <v>1595.9371337890625</v>
      </c>
      <c r="M94" s="440">
        <v>1982.2265625</v>
      </c>
      <c r="N94" s="440">
        <v>1412.17236328125</v>
      </c>
      <c r="O94" s="440">
        <v>1187.8941650390625</v>
      </c>
      <c r="P94" s="440">
        <v>2004.8486328125</v>
      </c>
      <c r="Q94" s="440">
        <v>2212.23095703125</v>
      </c>
      <c r="R94" s="440">
        <v>5805.66650390625</v>
      </c>
      <c r="S94" s="440">
        <v>842.86956787109375</v>
      </c>
      <c r="T94" s="440">
        <v>777.76458740234375</v>
      </c>
      <c r="U94" s="440">
        <v>856.90997314453125</v>
      </c>
      <c r="V94" s="440">
        <v>937.05389404296875</v>
      </c>
      <c r="W94" s="440">
        <v>900.42071533203125</v>
      </c>
    </row>
    <row r="95" spans="1:23" s="342" customFormat="1" ht="15.5" x14ac:dyDescent="0.35">
      <c r="A95" s="342" t="s">
        <v>388</v>
      </c>
      <c r="B95" s="440">
        <v>483296</v>
      </c>
      <c r="C95" s="440">
        <v>221260</v>
      </c>
      <c r="D95" s="440">
        <v>173227</v>
      </c>
      <c r="E95" s="440">
        <v>521975</v>
      </c>
      <c r="F95" s="440">
        <v>209727</v>
      </c>
      <c r="G95" s="440">
        <v>168803</v>
      </c>
      <c r="H95" s="440">
        <v>130349</v>
      </c>
      <c r="I95" s="440">
        <v>138435</v>
      </c>
      <c r="J95" s="440">
        <v>253278</v>
      </c>
      <c r="K95" s="440">
        <v>167638</v>
      </c>
      <c r="L95" s="440">
        <v>276086</v>
      </c>
      <c r="M95" s="440">
        <v>196440</v>
      </c>
      <c r="N95" s="440">
        <v>177833</v>
      </c>
      <c r="O95" s="440">
        <v>69073</v>
      </c>
      <c r="P95" s="440">
        <v>415513</v>
      </c>
      <c r="Q95" s="440">
        <v>74007</v>
      </c>
      <c r="R95" s="440">
        <v>180565</v>
      </c>
      <c r="S95" s="440">
        <v>652980</v>
      </c>
      <c r="T95" s="440">
        <v>265998</v>
      </c>
      <c r="U95" s="440">
        <v>467214</v>
      </c>
      <c r="V95" s="440">
        <v>98128</v>
      </c>
      <c r="W95" s="440">
        <v>198364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W30"/>
  <sheetViews>
    <sheetView topLeftCell="A4" zoomScale="70" zoomScaleNormal="70" workbookViewId="0">
      <selection activeCell="A14" sqref="A14"/>
    </sheetView>
  </sheetViews>
  <sheetFormatPr defaultRowHeight="14" x14ac:dyDescent="0.3"/>
  <cols>
    <col min="1" max="1" width="24.33203125" customWidth="1"/>
  </cols>
  <sheetData>
    <row r="1" spans="1:23" s="342" customFormat="1" ht="18" x14ac:dyDescent="0.4">
      <c r="A1" s="406" t="s">
        <v>840</v>
      </c>
    </row>
    <row r="2" spans="1:23" s="342" customFormat="1" ht="15.5" x14ac:dyDescent="0.35">
      <c r="A2" s="342" t="s">
        <v>495</v>
      </c>
    </row>
    <row r="3" spans="1:23" s="342" customFormat="1" ht="15.5" x14ac:dyDescent="0.35"/>
    <row r="4" spans="1:23" s="342" customFormat="1" ht="15.5" x14ac:dyDescent="0.35">
      <c r="A4" s="452" t="s">
        <v>834</v>
      </c>
      <c r="B4" s="483" t="s">
        <v>47</v>
      </c>
      <c r="C4" s="483" t="s">
        <v>49</v>
      </c>
      <c r="D4" s="483" t="s">
        <v>51</v>
      </c>
      <c r="E4" s="483" t="s">
        <v>53</v>
      </c>
      <c r="F4" s="483" t="s">
        <v>55</v>
      </c>
      <c r="G4" s="483" t="s">
        <v>57</v>
      </c>
      <c r="H4" s="483" t="s">
        <v>59</v>
      </c>
      <c r="I4" s="483" t="s">
        <v>61</v>
      </c>
      <c r="J4" s="483" t="s">
        <v>63</v>
      </c>
      <c r="K4" s="483" t="s">
        <v>65</v>
      </c>
      <c r="L4" s="483" t="s">
        <v>67</v>
      </c>
      <c r="M4" s="483" t="s">
        <v>69</v>
      </c>
      <c r="N4" s="483" t="s">
        <v>71</v>
      </c>
      <c r="O4" s="483" t="s">
        <v>73</v>
      </c>
      <c r="P4" s="483" t="s">
        <v>75</v>
      </c>
      <c r="Q4" s="483" t="s">
        <v>77</v>
      </c>
      <c r="R4" s="483" t="s">
        <v>79</v>
      </c>
      <c r="S4" s="484" t="s">
        <v>37</v>
      </c>
      <c r="T4" s="484" t="s">
        <v>501</v>
      </c>
      <c r="U4" s="484" t="s">
        <v>41</v>
      </c>
      <c r="V4" s="484" t="s">
        <v>43</v>
      </c>
      <c r="W4" s="485" t="s">
        <v>45</v>
      </c>
    </row>
    <row r="5" spans="1:23" s="342" customFormat="1" ht="15.5" x14ac:dyDescent="0.35">
      <c r="A5" s="342" t="s">
        <v>836</v>
      </c>
      <c r="B5" s="441">
        <v>0.13127565383911133</v>
      </c>
      <c r="C5" s="441">
        <v>0.14936725795269012</v>
      </c>
      <c r="D5" s="441">
        <v>0.14220069348812103</v>
      </c>
      <c r="E5" s="441">
        <v>0.1223008781671524</v>
      </c>
      <c r="F5" s="441">
        <v>0.15189746022224426</v>
      </c>
      <c r="G5" s="441">
        <v>0.15552449226379395</v>
      </c>
      <c r="H5" s="441">
        <v>0.14775717258453369</v>
      </c>
      <c r="I5" s="441">
        <v>0.16712535917758942</v>
      </c>
      <c r="J5" s="441">
        <v>0.1405530720949173</v>
      </c>
      <c r="K5" s="441">
        <v>0.14885646104812622</v>
      </c>
      <c r="L5" s="441">
        <v>0.1300102174282074</v>
      </c>
      <c r="M5" s="441">
        <v>0.13871920108795166</v>
      </c>
      <c r="N5" s="441">
        <v>0.1237003281712532</v>
      </c>
      <c r="O5" s="441">
        <v>0.13232377171516418</v>
      </c>
      <c r="P5" s="441">
        <v>0.11085092276334763</v>
      </c>
      <c r="Q5" s="441">
        <v>0.15594470500946045</v>
      </c>
      <c r="R5" s="441">
        <v>0.14124000072479248</v>
      </c>
      <c r="S5" s="441">
        <v>9.9050506949424744E-2</v>
      </c>
      <c r="T5" s="441">
        <v>9.8632320761680603E-2</v>
      </c>
      <c r="U5" s="441">
        <v>0.10599853843450546</v>
      </c>
      <c r="V5" s="441">
        <v>0.12818971276283264</v>
      </c>
      <c r="W5" s="441">
        <v>0.11314048618078232</v>
      </c>
    </row>
    <row r="6" spans="1:23" s="342" customFormat="1" ht="15.5" x14ac:dyDescent="0.35">
      <c r="A6" s="342" t="s">
        <v>818</v>
      </c>
      <c r="B6" s="441">
        <v>7.0443369448184967E-2</v>
      </c>
      <c r="C6" s="441">
        <v>8.5446983575820923E-2</v>
      </c>
      <c r="D6" s="441">
        <v>7.6015867292881012E-2</v>
      </c>
      <c r="E6" s="441">
        <v>6.6941902041435242E-2</v>
      </c>
      <c r="F6" s="441">
        <v>8.1463046371936798E-2</v>
      </c>
      <c r="G6" s="441">
        <v>8.5188060998916626E-2</v>
      </c>
      <c r="H6" s="441">
        <v>8.7388470768928528E-2</v>
      </c>
      <c r="I6" s="441">
        <v>9.6471264958381653E-2</v>
      </c>
      <c r="J6" s="441">
        <v>7.7029980719089508E-2</v>
      </c>
      <c r="K6" s="441">
        <v>8.0148890614509583E-2</v>
      </c>
      <c r="L6" s="441">
        <v>7.1249537169933319E-2</v>
      </c>
      <c r="M6" s="441">
        <v>7.6506823301315308E-2</v>
      </c>
      <c r="N6" s="441">
        <v>7.1943901479244232E-2</v>
      </c>
      <c r="O6" s="441">
        <v>6.994049996137619E-2</v>
      </c>
      <c r="P6" s="441">
        <v>5.9945177286863327E-2</v>
      </c>
      <c r="Q6" s="441">
        <v>8.6464792490005493E-2</v>
      </c>
      <c r="R6" s="441">
        <v>7.8669734299182892E-2</v>
      </c>
      <c r="S6" s="441">
        <v>5.2465617656707764E-2</v>
      </c>
      <c r="T6" s="441">
        <v>4.795524850487709E-2</v>
      </c>
      <c r="U6" s="441">
        <v>5.2740287035703659E-2</v>
      </c>
      <c r="V6" s="441">
        <v>6.4854070544242859E-2</v>
      </c>
      <c r="W6" s="441">
        <v>5.4299168288707733E-2</v>
      </c>
    </row>
    <row r="7" spans="1:23" s="342" customFormat="1" ht="15.5" x14ac:dyDescent="0.35">
      <c r="A7" s="342" t="s">
        <v>837</v>
      </c>
      <c r="B7" s="441">
        <v>2.074505016207695E-2</v>
      </c>
      <c r="C7" s="441">
        <v>2.380005456507206E-2</v>
      </c>
      <c r="D7" s="441">
        <v>2.1647894755005836E-2</v>
      </c>
      <c r="E7" s="441">
        <v>1.9219310954213142E-2</v>
      </c>
      <c r="F7" s="441">
        <v>2.1046407520771027E-2</v>
      </c>
      <c r="G7" s="441">
        <v>2.5556417182087898E-2</v>
      </c>
      <c r="H7" s="441">
        <v>2.5677220895886421E-2</v>
      </c>
      <c r="I7" s="441">
        <v>2.819373644888401E-2</v>
      </c>
      <c r="J7" s="441">
        <v>2.2832619026303291E-2</v>
      </c>
      <c r="K7" s="441">
        <v>2.3520920425653458E-2</v>
      </c>
      <c r="L7" s="441">
        <v>2.007707767188549E-2</v>
      </c>
      <c r="M7" s="441">
        <v>2.3793524131178856E-2</v>
      </c>
      <c r="N7" s="441">
        <v>2.1610163152217865E-2</v>
      </c>
      <c r="O7" s="441">
        <v>2.0123638212680817E-2</v>
      </c>
      <c r="P7" s="441">
        <v>1.6204066574573517E-2</v>
      </c>
      <c r="Q7" s="441">
        <v>2.6578566059470177E-2</v>
      </c>
      <c r="R7" s="441">
        <v>2.178163081407547E-2</v>
      </c>
      <c r="S7" s="441">
        <v>1.4528775587677956E-2</v>
      </c>
      <c r="T7" s="441">
        <v>1.0473762638866901E-2</v>
      </c>
      <c r="U7" s="441">
        <v>1.2872045859694481E-2</v>
      </c>
      <c r="V7" s="441">
        <v>1.7660606652498245E-2</v>
      </c>
      <c r="W7" s="441">
        <v>1.2991268187761307E-2</v>
      </c>
    </row>
    <row r="8" spans="1:23" s="342" customFormat="1" ht="15.5" x14ac:dyDescent="0.35">
      <c r="A8" s="342" t="s">
        <v>820</v>
      </c>
      <c r="B8" s="441">
        <v>1.2898927554488182E-2</v>
      </c>
      <c r="C8" s="441">
        <v>1.4245684258639812E-2</v>
      </c>
      <c r="D8" s="441">
        <v>1.3098419643938541E-2</v>
      </c>
      <c r="E8" s="441">
        <v>1.1443076655268669E-2</v>
      </c>
      <c r="F8" s="441">
        <v>1.2225416488945484E-2</v>
      </c>
      <c r="G8" s="441">
        <v>1.443102303892374E-2</v>
      </c>
      <c r="H8" s="441">
        <v>1.4392131939530373E-2</v>
      </c>
      <c r="I8" s="441">
        <v>1.5501860529184341E-2</v>
      </c>
      <c r="J8" s="441">
        <v>1.2571167200803757E-2</v>
      </c>
      <c r="K8" s="441">
        <v>1.2884906493127346E-2</v>
      </c>
      <c r="L8" s="441">
        <v>1.1293582618236542E-2</v>
      </c>
      <c r="M8" s="441">
        <v>1.5154754742980003E-2</v>
      </c>
      <c r="N8" s="441">
        <v>1.5025332570075989E-2</v>
      </c>
      <c r="O8" s="441">
        <v>1.1885975487530231E-2</v>
      </c>
      <c r="P8" s="441">
        <v>9.089968167245388E-3</v>
      </c>
      <c r="Q8" s="441">
        <v>1.3566284440457821E-2</v>
      </c>
      <c r="R8" s="441">
        <v>1.1115110479295254E-2</v>
      </c>
      <c r="S8" s="441">
        <v>9.1074761003255844E-3</v>
      </c>
      <c r="T8" s="441">
        <v>4.8308633267879486E-3</v>
      </c>
      <c r="U8" s="441">
        <v>6.9197411648929119E-3</v>
      </c>
      <c r="V8" s="441">
        <v>1.0414968244731426E-2</v>
      </c>
      <c r="W8" s="441">
        <v>7.0022786967456341E-3</v>
      </c>
    </row>
    <row r="9" spans="1:23" s="342" customFormat="1" ht="15.5" x14ac:dyDescent="0.35">
      <c r="A9" s="342" t="s">
        <v>538</v>
      </c>
      <c r="B9" s="441">
        <v>6.5032608807086945E-2</v>
      </c>
      <c r="C9" s="441">
        <v>7.5770586729049683E-2</v>
      </c>
      <c r="D9" s="441">
        <v>7.5692586600780487E-2</v>
      </c>
      <c r="E9" s="441">
        <v>6.8422816693782806E-2</v>
      </c>
      <c r="F9" s="441">
        <v>6.6619940102100372E-2</v>
      </c>
      <c r="G9" s="441">
        <v>8.0318480730056763E-2</v>
      </c>
      <c r="H9" s="441">
        <v>7.3602408170700073E-2</v>
      </c>
      <c r="I9" s="441">
        <v>8.569364994764328E-2</v>
      </c>
      <c r="J9" s="441">
        <v>7.9746365547180176E-2</v>
      </c>
      <c r="K9" s="441">
        <v>8.3095714449882507E-2</v>
      </c>
      <c r="L9" s="441">
        <v>6.9471105933189392E-2</v>
      </c>
      <c r="M9" s="441">
        <v>8.3109349012374878E-2</v>
      </c>
      <c r="N9" s="441">
        <v>5.5973861366510391E-2</v>
      </c>
      <c r="O9" s="441">
        <v>6.5177418291568756E-2</v>
      </c>
      <c r="P9" s="441">
        <v>6.2667109072208405E-2</v>
      </c>
      <c r="Q9" s="441">
        <v>8.3059713244438171E-2</v>
      </c>
      <c r="R9" s="441">
        <v>7.6975047588348389E-2</v>
      </c>
      <c r="S9" s="441">
        <v>4.9682993441820145E-2</v>
      </c>
      <c r="T9" s="441">
        <v>5.7778630405664444E-2</v>
      </c>
      <c r="U9" s="441">
        <v>5.3211163729429245E-2</v>
      </c>
      <c r="V9" s="441">
        <v>6.6922791302204132E-2</v>
      </c>
      <c r="W9" s="441">
        <v>6.4144700765609741E-2</v>
      </c>
    </row>
    <row r="10" spans="1:23" s="342" customFormat="1" ht="15.5" x14ac:dyDescent="0.35">
      <c r="A10" s="342" t="s">
        <v>540</v>
      </c>
      <c r="B10" s="441">
        <v>2.436395175755024E-2</v>
      </c>
      <c r="C10" s="441">
        <v>2.6769410818815231E-2</v>
      </c>
      <c r="D10" s="441">
        <v>2.4794057011604309E-2</v>
      </c>
      <c r="E10" s="441">
        <v>2.3091144859790802E-2</v>
      </c>
      <c r="F10" s="441">
        <v>2.866106852889061E-2</v>
      </c>
      <c r="G10" s="441">
        <v>3.3186614513397217E-2</v>
      </c>
      <c r="H10" s="441">
        <v>2.8393005952239037E-2</v>
      </c>
      <c r="I10" s="441">
        <v>3.3048000186681747E-2</v>
      </c>
      <c r="J10" s="441">
        <v>2.9667006805539131E-2</v>
      </c>
      <c r="K10" s="441">
        <v>2.8430307283997536E-2</v>
      </c>
      <c r="L10" s="441">
        <v>2.4488747119903564E-2</v>
      </c>
      <c r="M10" s="441">
        <v>2.9836082831025124E-2</v>
      </c>
      <c r="N10" s="441">
        <v>2.2161241620779037E-2</v>
      </c>
      <c r="O10" s="441">
        <v>2.8115183115005493E-2</v>
      </c>
      <c r="P10" s="441">
        <v>2.4071449413895607E-2</v>
      </c>
      <c r="Q10" s="441">
        <v>3.3456295728683472E-2</v>
      </c>
      <c r="R10" s="441">
        <v>2.727549709379673E-2</v>
      </c>
      <c r="S10" s="441">
        <v>1.8565652891993523E-2</v>
      </c>
      <c r="T10" s="441">
        <v>1.3943714089691639E-2</v>
      </c>
      <c r="U10" s="441">
        <v>1.448372658342123E-2</v>
      </c>
      <c r="V10" s="441">
        <v>2.0554784685373306E-2</v>
      </c>
      <c r="W10" s="441">
        <v>1.7513258382678032E-2</v>
      </c>
    </row>
    <row r="11" spans="1:23" s="342" customFormat="1" ht="15.5" x14ac:dyDescent="0.35">
      <c r="A11" s="342" t="s">
        <v>542</v>
      </c>
      <c r="B11" s="441">
        <v>1.5621895901858807E-2</v>
      </c>
      <c r="C11" s="441">
        <v>1.6600379720330238E-2</v>
      </c>
      <c r="D11" s="441">
        <v>1.6735266894102097E-2</v>
      </c>
      <c r="E11" s="441">
        <v>1.6839886084198952E-2</v>
      </c>
      <c r="F11" s="441">
        <v>1.8938906490802765E-2</v>
      </c>
      <c r="G11" s="441">
        <v>1.7582625150680542E-2</v>
      </c>
      <c r="H11" s="441">
        <v>1.766028068959713E-2</v>
      </c>
      <c r="I11" s="441">
        <v>1.9445950165390968E-2</v>
      </c>
      <c r="J11" s="441">
        <v>1.9468726590275764E-2</v>
      </c>
      <c r="K11" s="441">
        <v>1.9732996821403503E-2</v>
      </c>
      <c r="L11" s="441">
        <v>1.739313080906868E-2</v>
      </c>
      <c r="M11" s="441">
        <v>1.4599877409636974E-2</v>
      </c>
      <c r="N11" s="441">
        <v>8.9522190392017365E-3</v>
      </c>
      <c r="O11" s="441">
        <v>1.3912816531956196E-2</v>
      </c>
      <c r="P11" s="441">
        <v>1.3761302456259727E-2</v>
      </c>
      <c r="Q11" s="441">
        <v>1.8173957243561745E-2</v>
      </c>
      <c r="R11" s="441">
        <v>1.6647744923830032E-2</v>
      </c>
      <c r="S11" s="441">
        <v>1.6590094193816185E-2</v>
      </c>
      <c r="T11" s="441">
        <v>1.6616666689515114E-2</v>
      </c>
      <c r="U11" s="441">
        <v>1.2726502493023872E-2</v>
      </c>
      <c r="V11" s="441">
        <v>1.5877220779657364E-2</v>
      </c>
      <c r="W11" s="441">
        <v>1.4317113906145096E-2</v>
      </c>
    </row>
    <row r="12" spans="1:23" s="342" customFormat="1" ht="15.5" x14ac:dyDescent="0.35">
      <c r="A12" s="342" t="s">
        <v>544</v>
      </c>
      <c r="B12" s="441">
        <v>2.0173972472548485E-2</v>
      </c>
      <c r="C12" s="441">
        <v>2.1395642310380936E-2</v>
      </c>
      <c r="D12" s="441">
        <v>1.9587015733122826E-2</v>
      </c>
      <c r="E12" s="441">
        <v>1.9686765968799591E-2</v>
      </c>
      <c r="F12" s="441">
        <v>2.4021703749895096E-2</v>
      </c>
      <c r="G12" s="441">
        <v>2.3601476103067398E-2</v>
      </c>
      <c r="H12" s="441">
        <v>2.3659560829401016E-2</v>
      </c>
      <c r="I12" s="441">
        <v>2.7659190818667412E-2</v>
      </c>
      <c r="J12" s="441">
        <v>2.8375934809446335E-2</v>
      </c>
      <c r="K12" s="441">
        <v>2.998126856982708E-2</v>
      </c>
      <c r="L12" s="441">
        <v>2.3097874596714973E-2</v>
      </c>
      <c r="M12" s="441">
        <v>2.4343311786651611E-2</v>
      </c>
      <c r="N12" s="441">
        <v>1.7274634912610054E-2</v>
      </c>
      <c r="O12" s="441">
        <v>2.1151535212993622E-2</v>
      </c>
      <c r="P12" s="441">
        <v>2.2925877943634987E-2</v>
      </c>
      <c r="Q12" s="441">
        <v>2.5578660890460014E-2</v>
      </c>
      <c r="R12" s="441">
        <v>2.2246835753321648E-2</v>
      </c>
      <c r="S12" s="441">
        <v>2.1483046934008598E-2</v>
      </c>
      <c r="T12" s="441">
        <v>1.8368558958172798E-2</v>
      </c>
      <c r="U12" s="441">
        <v>1.6324425116181374E-2</v>
      </c>
      <c r="V12" s="441">
        <v>1.6111608594655991E-2</v>
      </c>
      <c r="W12" s="441">
        <v>1.8052671104669571E-2</v>
      </c>
    </row>
    <row r="13" spans="1:23" s="342" customFormat="1" ht="15.5" x14ac:dyDescent="0.35">
      <c r="A13" s="342" t="s">
        <v>546</v>
      </c>
      <c r="B13" s="441">
        <v>6.0966778546571732E-2</v>
      </c>
      <c r="C13" s="441">
        <v>5.0271175801753998E-2</v>
      </c>
      <c r="D13" s="441">
        <v>5.6734804064035416E-2</v>
      </c>
      <c r="E13" s="441">
        <v>6.0052685439586639E-2</v>
      </c>
      <c r="F13" s="441">
        <v>5.479981005191803E-2</v>
      </c>
      <c r="G13" s="441">
        <v>5.0721846520900726E-2</v>
      </c>
      <c r="H13" s="441">
        <v>4.6145349740982056E-2</v>
      </c>
      <c r="I13" s="441">
        <v>5.1858272403478622E-2</v>
      </c>
      <c r="J13" s="441">
        <v>6.2761075794696808E-2</v>
      </c>
      <c r="K13" s="441">
        <v>5.5822666734457016E-2</v>
      </c>
      <c r="L13" s="441">
        <v>6.4447313547134399E-2</v>
      </c>
      <c r="M13" s="441">
        <v>6.0471389442682266E-2</v>
      </c>
      <c r="N13" s="441">
        <v>5.0063822418451309E-2</v>
      </c>
      <c r="O13" s="441">
        <v>6.2701776623725891E-2</v>
      </c>
      <c r="P13" s="441">
        <v>5.0862427800893784E-2</v>
      </c>
      <c r="Q13" s="441">
        <v>4.9549367278814316E-2</v>
      </c>
      <c r="R13" s="441">
        <v>5.3338132798671722E-2</v>
      </c>
      <c r="S13" s="441">
        <v>6.0271371155977249E-2</v>
      </c>
      <c r="T13" s="441">
        <v>5.9951577335596085E-2</v>
      </c>
      <c r="U13" s="441">
        <v>4.9146644771099091E-2</v>
      </c>
      <c r="V13" s="441">
        <v>5.4214902222156525E-2</v>
      </c>
      <c r="W13" s="441">
        <v>5.4641969501972198E-2</v>
      </c>
    </row>
    <row r="14" spans="1:23" s="342" customFormat="1" ht="15.5" x14ac:dyDescent="0.35">
      <c r="A14" s="342" t="s">
        <v>548</v>
      </c>
      <c r="B14" s="441">
        <v>4.3534399010241032E-3</v>
      </c>
      <c r="C14" s="441">
        <v>4.5376480557024479E-3</v>
      </c>
      <c r="D14" s="441">
        <v>3.9254850707948208E-3</v>
      </c>
      <c r="E14" s="441">
        <v>3.8066958077251911E-3</v>
      </c>
      <c r="F14" s="441">
        <v>3.8049463182687759E-3</v>
      </c>
      <c r="G14" s="441">
        <v>3.5959077067673206E-3</v>
      </c>
      <c r="H14" s="441">
        <v>3.3218513708561659E-3</v>
      </c>
      <c r="I14" s="441">
        <v>5.2154441364109516E-3</v>
      </c>
      <c r="J14" s="441">
        <v>4.2285551317036152E-3</v>
      </c>
      <c r="K14" s="441">
        <v>4.193559754639864E-3</v>
      </c>
      <c r="L14" s="441">
        <v>3.3033185172826052E-3</v>
      </c>
      <c r="M14" s="441">
        <v>4.3015680275857449E-3</v>
      </c>
      <c r="N14" s="441">
        <v>3.8969144225120544E-3</v>
      </c>
      <c r="O14" s="441">
        <v>3.6627915687859058E-3</v>
      </c>
      <c r="P14" s="441">
        <v>3.4439356531947851E-3</v>
      </c>
      <c r="Q14" s="441">
        <v>4.7968435101211071E-3</v>
      </c>
      <c r="R14" s="441">
        <v>4.3031596578657627E-3</v>
      </c>
      <c r="S14" s="441">
        <v>3.177738981321454E-3</v>
      </c>
      <c r="T14" s="441">
        <v>3.1391214579343796E-3</v>
      </c>
      <c r="U14" s="441">
        <v>3.1206256244331598E-3</v>
      </c>
      <c r="V14" s="441">
        <v>3.3833361230790615E-3</v>
      </c>
      <c r="W14" s="441">
        <v>3.5591134801506996E-3</v>
      </c>
    </row>
    <row r="15" spans="1:23" s="342" customFormat="1" ht="15.5" x14ac:dyDescent="0.35">
      <c r="A15" s="342" t="s">
        <v>550</v>
      </c>
      <c r="B15" s="441">
        <v>9.5593591686338186E-4</v>
      </c>
      <c r="C15" s="441">
        <v>6.9149414775893092E-4</v>
      </c>
      <c r="D15" s="441">
        <v>7.2159653063863516E-4</v>
      </c>
      <c r="E15" s="441">
        <v>4.6362372813746333E-4</v>
      </c>
      <c r="F15" s="441">
        <v>7.1521551581099629E-4</v>
      </c>
      <c r="G15" s="441">
        <v>5.805583787150681E-4</v>
      </c>
      <c r="H15" s="441">
        <v>5.2934815175831318E-4</v>
      </c>
      <c r="I15" s="441">
        <v>6.2845379579812288E-4</v>
      </c>
      <c r="J15" s="441">
        <v>6.4750987803563476E-4</v>
      </c>
      <c r="K15" s="441">
        <v>7.038976764306426E-4</v>
      </c>
      <c r="L15" s="441">
        <v>6.9905753480270505E-4</v>
      </c>
      <c r="M15" s="441">
        <v>5.6505802785977721E-4</v>
      </c>
      <c r="N15" s="441">
        <v>5.2296253852546215E-4</v>
      </c>
      <c r="O15" s="441">
        <v>5.6462001521140337E-4</v>
      </c>
      <c r="P15" s="441">
        <v>7.7494565630331635E-4</v>
      </c>
      <c r="Q15" s="441">
        <v>6.8912399001419544E-4</v>
      </c>
      <c r="R15" s="441">
        <v>7.3657685425132513E-4</v>
      </c>
      <c r="S15" s="441">
        <v>4.9924961058422923E-4</v>
      </c>
      <c r="T15" s="441">
        <v>4.8872549086809158E-4</v>
      </c>
      <c r="U15" s="441">
        <v>5.3936737822368741E-4</v>
      </c>
      <c r="V15" s="441">
        <v>4.4839392649009824E-4</v>
      </c>
      <c r="W15" s="441">
        <v>5.8982474729418755E-4</v>
      </c>
    </row>
    <row r="16" spans="1:23" s="342" customFormat="1" ht="15.5" x14ac:dyDescent="0.35">
      <c r="A16" s="342" t="s">
        <v>553</v>
      </c>
      <c r="B16" s="441">
        <v>3.4099186304956675E-3</v>
      </c>
      <c r="C16" s="441">
        <v>3.2721685711294413E-3</v>
      </c>
      <c r="D16" s="441">
        <v>3.7811656948179007E-3</v>
      </c>
      <c r="E16" s="441">
        <v>3.0269648414105177E-3</v>
      </c>
      <c r="F16" s="441">
        <v>4.2960611172020435E-3</v>
      </c>
      <c r="G16" s="441">
        <v>3.9987443014979362E-3</v>
      </c>
      <c r="H16" s="441">
        <v>4.5186383649706841E-3</v>
      </c>
      <c r="I16" s="441">
        <v>5.3021274507045746E-3</v>
      </c>
      <c r="J16" s="441">
        <v>4.5878440141677856E-3</v>
      </c>
      <c r="K16" s="441">
        <v>5.3150239400565624E-3</v>
      </c>
      <c r="L16" s="441">
        <v>3.310562577098608E-3</v>
      </c>
      <c r="M16" s="441">
        <v>4.2150276713073254E-3</v>
      </c>
      <c r="N16" s="441">
        <v>3.6045054439455271E-3</v>
      </c>
      <c r="O16" s="441">
        <v>3.8509981241077185E-3</v>
      </c>
      <c r="P16" s="441">
        <v>3.6485020536929369E-3</v>
      </c>
      <c r="Q16" s="441">
        <v>4.6346965245902538E-3</v>
      </c>
      <c r="R16" s="441">
        <v>3.815800417214632E-3</v>
      </c>
      <c r="S16" s="441">
        <v>2.5866029318422079E-3</v>
      </c>
      <c r="T16" s="441">
        <v>2.2556560579687357E-3</v>
      </c>
      <c r="U16" s="441">
        <v>2.448556711897254E-3</v>
      </c>
      <c r="V16" s="441">
        <v>3.4852437674999237E-3</v>
      </c>
      <c r="W16" s="441">
        <v>3.0045774765312672E-3</v>
      </c>
    </row>
    <row r="17" spans="1:23" s="342" customFormat="1" ht="15.5" x14ac:dyDescent="0.35">
      <c r="A17" s="342" t="s">
        <v>556</v>
      </c>
      <c r="B17" s="441">
        <v>1.3149291276931763E-2</v>
      </c>
      <c r="C17" s="441">
        <v>1.4412907883524895E-2</v>
      </c>
      <c r="D17" s="441">
        <v>1.3190784491598606E-2</v>
      </c>
      <c r="E17" s="441">
        <v>1.0920063592493534E-2</v>
      </c>
      <c r="F17" s="441">
        <v>1.4604700729250908E-2</v>
      </c>
      <c r="G17" s="441">
        <v>1.3471324928104877E-2</v>
      </c>
      <c r="H17" s="441">
        <v>1.3118627481162548E-2</v>
      </c>
      <c r="I17" s="441">
        <v>1.5956947579979897E-2</v>
      </c>
      <c r="J17" s="441">
        <v>1.5702113509178162E-2</v>
      </c>
      <c r="K17" s="441">
        <v>1.5962967649102211E-2</v>
      </c>
      <c r="L17" s="441">
        <v>1.3944930396974087E-2</v>
      </c>
      <c r="M17" s="441">
        <v>1.5266748145222664E-2</v>
      </c>
      <c r="N17" s="441">
        <v>1.1567031964659691E-2</v>
      </c>
      <c r="O17" s="441">
        <v>1.5563244931399822E-2</v>
      </c>
      <c r="P17" s="441">
        <v>1.4038068242371082E-2</v>
      </c>
      <c r="Q17" s="441">
        <v>1.8484737724065781E-2</v>
      </c>
      <c r="R17" s="441">
        <v>1.6276687383651733E-2</v>
      </c>
      <c r="S17" s="441">
        <v>1.1092223227024078E-2</v>
      </c>
      <c r="T17" s="441">
        <v>1.0586545802652836E-2</v>
      </c>
      <c r="U17" s="441">
        <v>1.0134542360901833E-2</v>
      </c>
      <c r="V17" s="441">
        <v>1.1709196493029594E-2</v>
      </c>
      <c r="W17" s="441">
        <v>1.1998144909739494E-2</v>
      </c>
    </row>
    <row r="18" spans="1:23" s="342" customFormat="1" ht="15.5" x14ac:dyDescent="0.35">
      <c r="A18" s="342" t="s">
        <v>559</v>
      </c>
      <c r="B18" s="441">
        <v>1.2851337902247906E-2</v>
      </c>
      <c r="C18" s="441">
        <v>1.5687426552176476E-2</v>
      </c>
      <c r="D18" s="441">
        <v>1.5569166280329227E-2</v>
      </c>
      <c r="E18" s="441">
        <v>1.4939412474632263E-2</v>
      </c>
      <c r="F18" s="441">
        <v>1.6693130135536194E-2</v>
      </c>
      <c r="G18" s="441">
        <v>1.7280498519539833E-2</v>
      </c>
      <c r="H18" s="441">
        <v>1.6333075240254402E-2</v>
      </c>
      <c r="I18" s="441">
        <v>2.0666738972067833E-2</v>
      </c>
      <c r="J18" s="441">
        <v>1.7091890797019005E-2</v>
      </c>
      <c r="K18" s="441">
        <v>1.8044834956526756E-2</v>
      </c>
      <c r="L18" s="441">
        <v>1.3912331312894821E-2</v>
      </c>
      <c r="M18" s="441">
        <v>1.9787212833762169E-2</v>
      </c>
      <c r="N18" s="441">
        <v>1.181445550173521E-2</v>
      </c>
      <c r="O18" s="441">
        <v>1.4868327416479588E-2</v>
      </c>
      <c r="P18" s="441">
        <v>1.5871945768594742E-2</v>
      </c>
      <c r="Q18" s="441">
        <v>1.6079559922218323E-2</v>
      </c>
      <c r="R18" s="441">
        <v>1.952759362757206E-2</v>
      </c>
      <c r="S18" s="441">
        <v>8.6388560011982918E-3</v>
      </c>
      <c r="T18" s="441">
        <v>8.0602113157510757E-3</v>
      </c>
      <c r="U18" s="441">
        <v>8.5699483752250671E-3</v>
      </c>
      <c r="V18" s="441">
        <v>1.4562612399458885E-2</v>
      </c>
      <c r="W18" s="441">
        <v>1.1312536895275116E-2</v>
      </c>
    </row>
    <row r="19" spans="1:23" s="342" customFormat="1" ht="15.5" x14ac:dyDescent="0.35">
      <c r="A19" s="342" t="s">
        <v>561</v>
      </c>
      <c r="B19" s="441">
        <v>1.0173888877034187E-2</v>
      </c>
      <c r="C19" s="441">
        <v>1.2130524963140488E-2</v>
      </c>
      <c r="D19" s="441">
        <v>1.0494899936020374E-2</v>
      </c>
      <c r="E19" s="441">
        <v>8.822261355817318E-3</v>
      </c>
      <c r="F19" s="441">
        <v>1.249243039637804E-2</v>
      </c>
      <c r="G19" s="441">
        <v>1.1024685576558113E-2</v>
      </c>
      <c r="H19" s="441">
        <v>1.1607300490140915E-2</v>
      </c>
      <c r="I19" s="441">
        <v>1.3457579538226128E-2</v>
      </c>
      <c r="J19" s="441">
        <v>9.985075332224369E-3</v>
      </c>
      <c r="K19" s="441">
        <v>1.0653909295797348E-2</v>
      </c>
      <c r="L19" s="441">
        <v>1.0304760187864304E-2</v>
      </c>
      <c r="M19" s="441">
        <v>1.1438607238233089E-2</v>
      </c>
      <c r="N19" s="441">
        <v>9.7844609990715981E-3</v>
      </c>
      <c r="O19" s="441">
        <v>1.2841486372053623E-2</v>
      </c>
      <c r="P19" s="441">
        <v>9.901014156639576E-3</v>
      </c>
      <c r="Q19" s="441">
        <v>1.3444674201309681E-2</v>
      </c>
      <c r="R19" s="441">
        <v>1.1081881821155548E-2</v>
      </c>
      <c r="S19" s="441">
        <v>7.8532267361879349E-3</v>
      </c>
      <c r="T19" s="441">
        <v>7.0602032355964184E-3</v>
      </c>
      <c r="U19" s="441">
        <v>7.088828831911087E-3</v>
      </c>
      <c r="V19" s="441">
        <v>1.0649356059730053E-2</v>
      </c>
      <c r="W19" s="441">
        <v>7.612268440425396E-3</v>
      </c>
    </row>
    <row r="20" spans="1:23" s="342" customFormat="1" ht="15.5" x14ac:dyDescent="0.35">
      <c r="A20" s="342" t="s">
        <v>563</v>
      </c>
      <c r="B20" s="441">
        <v>2.4705356918275356E-3</v>
      </c>
      <c r="C20" s="441">
        <v>2.5942330248653889E-3</v>
      </c>
      <c r="D20" s="441">
        <v>3.3077984116971493E-3</v>
      </c>
      <c r="E20" s="441">
        <v>2.5805833283811808E-3</v>
      </c>
      <c r="F20" s="441">
        <v>2.1742552053183317E-3</v>
      </c>
      <c r="G20" s="441">
        <v>2.002333989366889E-3</v>
      </c>
      <c r="H20" s="441">
        <v>2.8615486808121204E-3</v>
      </c>
      <c r="I20" s="441">
        <v>2.5788275524973869E-3</v>
      </c>
      <c r="J20" s="441">
        <v>2.7321756351739168E-3</v>
      </c>
      <c r="K20" s="441">
        <v>2.6247033383697271E-3</v>
      </c>
      <c r="L20" s="441">
        <v>2.7093007229268551E-3</v>
      </c>
      <c r="M20" s="441">
        <v>2.6522092521190643E-3</v>
      </c>
      <c r="N20" s="441">
        <v>1.7994410591199994E-3</v>
      </c>
      <c r="O20" s="441">
        <v>2.3598221596330404E-3</v>
      </c>
      <c r="P20" s="441">
        <v>1.7977777170017362E-3</v>
      </c>
      <c r="Q20" s="441">
        <v>2.4862512946128845E-3</v>
      </c>
      <c r="R20" s="441">
        <v>1.744524110108614E-3</v>
      </c>
      <c r="S20" s="441">
        <v>2.9342400375753641E-3</v>
      </c>
      <c r="T20" s="441">
        <v>2.0977600943297148E-3</v>
      </c>
      <c r="U20" s="441">
        <v>1.9241718109697104E-3</v>
      </c>
      <c r="V20" s="441">
        <v>2.7413174975663424E-3</v>
      </c>
      <c r="W20" s="441">
        <v>2.2231857292354107E-3</v>
      </c>
    </row>
    <row r="21" spans="1:23" s="342" customFormat="1" ht="15.5" x14ac:dyDescent="0.35">
      <c r="A21" s="342" t="s">
        <v>565</v>
      </c>
      <c r="B21" s="441">
        <v>1.8466943874955177E-2</v>
      </c>
      <c r="C21" s="441">
        <v>2.0310945808887482E-2</v>
      </c>
      <c r="D21" s="441">
        <v>2.0689615979790688E-2</v>
      </c>
      <c r="E21" s="441">
        <v>1.9749987870454788E-2</v>
      </c>
      <c r="F21" s="441">
        <v>2.1756855770945549E-2</v>
      </c>
      <c r="G21" s="441">
        <v>2.0568354055285454E-2</v>
      </c>
      <c r="H21" s="441">
        <v>2.0598547533154488E-2</v>
      </c>
      <c r="I21" s="441">
        <v>2.2385956719517708E-2</v>
      </c>
      <c r="J21" s="441">
        <v>2.0597919821739197E-2</v>
      </c>
      <c r="K21" s="441">
        <v>2.1737314760684967E-2</v>
      </c>
      <c r="L21" s="441">
        <v>2.1975036710500717E-2</v>
      </c>
      <c r="M21" s="441">
        <v>2.7173692360520363E-2</v>
      </c>
      <c r="N21" s="441">
        <v>1.5323365107178688E-2</v>
      </c>
      <c r="O21" s="441">
        <v>1.5085489489138126E-2</v>
      </c>
      <c r="P21" s="441">
        <v>1.9782774150371552E-2</v>
      </c>
      <c r="Q21" s="441">
        <v>2.284918911755085E-2</v>
      </c>
      <c r="R21" s="441">
        <v>2.1360728889703751E-2</v>
      </c>
      <c r="S21" s="441">
        <v>1.5129100531339645E-2</v>
      </c>
      <c r="T21" s="441">
        <v>1.691742055118084E-2</v>
      </c>
      <c r="U21" s="441">
        <v>1.6168178990483284E-2</v>
      </c>
      <c r="V21" s="441">
        <v>2.0728029310703278E-2</v>
      </c>
      <c r="W21" s="441">
        <v>2.1848723292350769E-2</v>
      </c>
    </row>
    <row r="22" spans="1:23" s="342" customFormat="1" ht="15.5" x14ac:dyDescent="0.35">
      <c r="A22" s="342" t="s">
        <v>566</v>
      </c>
      <c r="B22" s="441">
        <v>7.7799113932996988E-4</v>
      </c>
      <c r="C22" s="441">
        <v>6.7793548805639148E-4</v>
      </c>
      <c r="D22" s="441">
        <v>1.4143291627988219E-3</v>
      </c>
      <c r="E22" s="441">
        <v>8.697734447196126E-4</v>
      </c>
      <c r="F22" s="441">
        <v>7.1521551581099629E-4</v>
      </c>
      <c r="G22" s="441">
        <v>8.5898948600515723E-4</v>
      </c>
      <c r="H22" s="441">
        <v>5.6770670926198363E-4</v>
      </c>
      <c r="I22" s="441">
        <v>4.3341639684513211E-4</v>
      </c>
      <c r="J22" s="441">
        <v>1.1055046343244612E-4</v>
      </c>
      <c r="K22" s="441">
        <v>3.9370547165162861E-4</v>
      </c>
      <c r="L22" s="441">
        <v>6.3748250249773264E-4</v>
      </c>
      <c r="M22" s="441">
        <v>9.2649157159030437E-4</v>
      </c>
      <c r="N22" s="441">
        <v>5.3983234101906419E-4</v>
      </c>
      <c r="O22" s="441">
        <v>1.1292400304228067E-3</v>
      </c>
      <c r="P22" s="441">
        <v>9.5544545911252499E-4</v>
      </c>
      <c r="Q22" s="441">
        <v>1.7025416018441319E-3</v>
      </c>
      <c r="R22" s="441">
        <v>9.3041284708306193E-4</v>
      </c>
      <c r="S22" s="441">
        <v>3.6448283935897052E-4</v>
      </c>
      <c r="T22" s="441">
        <v>5.0376320723444223E-4</v>
      </c>
      <c r="U22" s="441">
        <v>5.2010425133630633E-4</v>
      </c>
      <c r="V22" s="441">
        <v>2.7515081455931067E-4</v>
      </c>
      <c r="W22" s="441">
        <v>6.7552580730989575E-4</v>
      </c>
    </row>
    <row r="23" spans="1:23" s="342" customFormat="1" ht="15.5" x14ac:dyDescent="0.35">
      <c r="A23" s="342" t="s">
        <v>568</v>
      </c>
      <c r="B23" s="441">
        <v>2.2158263251185417E-2</v>
      </c>
      <c r="C23" s="441">
        <v>2.2634005174040794E-2</v>
      </c>
      <c r="D23" s="441">
        <v>2.4389961734414101E-2</v>
      </c>
      <c r="E23" s="441">
        <v>2.1117869764566422E-2</v>
      </c>
      <c r="F23" s="441">
        <v>2.3349402472376823E-2</v>
      </c>
      <c r="G23" s="441">
        <v>2.5058796629309654E-2</v>
      </c>
      <c r="H23" s="441">
        <v>2.3782307282090187E-2</v>
      </c>
      <c r="I23" s="441">
        <v>2.5087585672736168E-2</v>
      </c>
      <c r="J23" s="441">
        <v>2.852991595864296E-2</v>
      </c>
      <c r="K23" s="441">
        <v>2.9515981674194336E-2</v>
      </c>
      <c r="L23" s="441">
        <v>2.1877240389585495E-2</v>
      </c>
      <c r="M23" s="441">
        <v>2.5366524234414101E-2</v>
      </c>
      <c r="N23" s="441">
        <v>1.7707625404000282E-2</v>
      </c>
      <c r="O23" s="441">
        <v>1.908126100897789E-2</v>
      </c>
      <c r="P23" s="441">
        <v>2.2266451269388199E-2</v>
      </c>
      <c r="Q23" s="441">
        <v>2.6727201417088509E-2</v>
      </c>
      <c r="R23" s="441">
        <v>2.5115609169006348E-2</v>
      </c>
      <c r="S23" s="441">
        <v>1.5129100531339645E-2</v>
      </c>
      <c r="T23" s="441">
        <v>1.6556516289710999E-2</v>
      </c>
      <c r="U23" s="441">
        <v>1.624523289501667E-2</v>
      </c>
      <c r="V23" s="441">
        <v>2.0106391981244087E-2</v>
      </c>
      <c r="W23" s="441">
        <v>1.8324898555874825E-2</v>
      </c>
    </row>
    <row r="24" spans="1:23" s="342" customFormat="1" ht="15.5" x14ac:dyDescent="0.35">
      <c r="A24" s="342" t="s">
        <v>510</v>
      </c>
      <c r="B24" s="441">
        <v>0.14372351765632629</v>
      </c>
      <c r="C24" s="441">
        <v>0.15199765563011169</v>
      </c>
      <c r="D24" s="441">
        <v>0.15905141830444336</v>
      </c>
      <c r="E24" s="441">
        <v>0.13944154977798462</v>
      </c>
      <c r="F24" s="441">
        <v>0.16827590763568878</v>
      </c>
      <c r="G24" s="441">
        <v>0.14175696671009064</v>
      </c>
      <c r="H24" s="441">
        <v>0.15499159693717957</v>
      </c>
      <c r="I24" s="441">
        <v>0.16568787395954132</v>
      </c>
      <c r="J24" s="441">
        <v>0.1464359313249588</v>
      </c>
      <c r="K24" s="441">
        <v>0.17395220696926117</v>
      </c>
      <c r="L24" s="441">
        <v>0.15694747865200043</v>
      </c>
      <c r="M24" s="441">
        <v>0.16668702661991119</v>
      </c>
      <c r="N24" s="441">
        <v>9.0067647397518158E-2</v>
      </c>
      <c r="O24" s="441">
        <v>0.14891491830348969</v>
      </c>
      <c r="P24" s="441">
        <v>0.11045141518115997</v>
      </c>
      <c r="Q24" s="441">
        <v>0.13864904642105103</v>
      </c>
      <c r="R24" s="441">
        <v>0.15443192422389984</v>
      </c>
      <c r="S24" s="441">
        <v>0.12730865180492401</v>
      </c>
      <c r="T24" s="441">
        <v>0.13512507081031799</v>
      </c>
      <c r="U24" s="441">
        <v>0.13227343559265137</v>
      </c>
      <c r="V24" s="441">
        <v>0.15400293469429016</v>
      </c>
      <c r="W24" s="441">
        <v>0.15367203950881958</v>
      </c>
    </row>
    <row r="25" spans="1:23" s="342" customFormat="1" ht="15.5" x14ac:dyDescent="0.35">
      <c r="A25" s="342" t="s">
        <v>570</v>
      </c>
      <c r="B25" s="441">
        <v>2.5760610587894917E-3</v>
      </c>
      <c r="C25" s="441">
        <v>3.2766880467534065E-3</v>
      </c>
      <c r="D25" s="441">
        <v>3.0826602596789598E-3</v>
      </c>
      <c r="E25" s="441">
        <v>2.4943724274635315E-3</v>
      </c>
      <c r="F25" s="441">
        <v>2.9037748463451862E-3</v>
      </c>
      <c r="G25" s="441">
        <v>3.0805140268057585E-3</v>
      </c>
      <c r="H25" s="441">
        <v>3.1760889105498791E-3</v>
      </c>
      <c r="I25" s="441">
        <v>3.445660462602973E-3</v>
      </c>
      <c r="J25" s="441">
        <v>2.6334698777645826E-3</v>
      </c>
      <c r="K25" s="441">
        <v>2.9826173558831215E-3</v>
      </c>
      <c r="L25" s="441">
        <v>2.651347778737545E-3</v>
      </c>
      <c r="M25" s="441">
        <v>3.2223579473793507E-3</v>
      </c>
      <c r="N25" s="441">
        <v>2.620436018332839E-3</v>
      </c>
      <c r="O25" s="441">
        <v>2.8231001924723387E-3</v>
      </c>
      <c r="P25" s="441">
        <v>2.2237570956349373E-3</v>
      </c>
      <c r="Q25" s="441">
        <v>2.7970327064394951E-3</v>
      </c>
      <c r="R25" s="441">
        <v>3.1013763509690762E-3</v>
      </c>
      <c r="S25" s="441">
        <v>2.1792398765683174E-3</v>
      </c>
      <c r="T25" s="441">
        <v>1.744374050758779E-3</v>
      </c>
      <c r="U25" s="441">
        <v>1.7700667958706617E-3</v>
      </c>
      <c r="V25" s="441">
        <v>2.5171204470098019E-3</v>
      </c>
      <c r="W25" s="441">
        <v>2.0064124837517738E-3</v>
      </c>
    </row>
    <row r="26" spans="1:23" s="342" customFormat="1" ht="15.5" x14ac:dyDescent="0.35">
      <c r="A26" s="342" t="s">
        <v>571</v>
      </c>
      <c r="B26" s="441">
        <v>1.470941212028265E-2</v>
      </c>
      <c r="C26" s="441">
        <v>1.4001627452671528E-2</v>
      </c>
      <c r="D26" s="441">
        <v>1.3109965249896049E-2</v>
      </c>
      <c r="E26" s="441">
        <v>1.2751568108797073E-2</v>
      </c>
      <c r="F26" s="441">
        <v>1.3422210700809956E-2</v>
      </c>
      <c r="G26" s="441">
        <v>1.2825601734220982E-2</v>
      </c>
      <c r="H26" s="441">
        <v>1.3939500786364079E-2</v>
      </c>
      <c r="I26" s="441">
        <v>1.7054935917258263E-2</v>
      </c>
      <c r="J26" s="441">
        <v>1.7806520685553551E-2</v>
      </c>
      <c r="K26" s="441">
        <v>1.6458082944154739E-2</v>
      </c>
      <c r="L26" s="441">
        <v>1.2264294549822807E-2</v>
      </c>
      <c r="M26" s="441">
        <v>1.2309102341532707E-2</v>
      </c>
      <c r="N26" s="441">
        <v>1.191567350178957E-2</v>
      </c>
      <c r="O26" s="441">
        <v>1.6373980790376663E-2</v>
      </c>
      <c r="P26" s="441">
        <v>1.2613323517143726E-2</v>
      </c>
      <c r="Q26" s="441">
        <v>1.5093167312443256E-2</v>
      </c>
      <c r="R26" s="441">
        <v>1.4836762100458145E-2</v>
      </c>
      <c r="S26" s="441">
        <v>1.3211737386882305E-2</v>
      </c>
      <c r="T26" s="441">
        <v>1.1150459758937359E-2</v>
      </c>
      <c r="U26" s="441">
        <v>1.2578818015754223E-2</v>
      </c>
      <c r="V26" s="441">
        <v>1.1576715856790543E-2</v>
      </c>
      <c r="W26" s="441">
        <v>1.1877154931426048E-2</v>
      </c>
    </row>
    <row r="27" spans="1:23" s="342" customFormat="1" ht="15.5" x14ac:dyDescent="0.35">
      <c r="A27" s="342" t="s">
        <v>838</v>
      </c>
      <c r="B27" s="441">
        <v>0.23456639051437378</v>
      </c>
      <c r="C27" s="441">
        <v>0.23292958736419678</v>
      </c>
      <c r="D27" s="441">
        <v>0.22662171721458435</v>
      </c>
      <c r="E27" s="441">
        <v>0.23191915452480316</v>
      </c>
      <c r="F27" s="441">
        <v>0.25198471546173096</v>
      </c>
      <c r="G27" s="441">
        <v>0.25669568777084351</v>
      </c>
      <c r="H27" s="441">
        <v>0.25277525186538696</v>
      </c>
      <c r="I27" s="441">
        <v>0.25474050641059875</v>
      </c>
      <c r="J27" s="441">
        <v>0.23551985621452332</v>
      </c>
      <c r="K27" s="441">
        <v>0.2474200427532196</v>
      </c>
      <c r="L27" s="441">
        <v>0.23113812506198883</v>
      </c>
      <c r="M27" s="441">
        <v>0.20018325746059418</v>
      </c>
      <c r="N27" s="441">
        <v>0.18741178512573242</v>
      </c>
      <c r="O27" s="441">
        <v>0.17315015196800232</v>
      </c>
      <c r="P27" s="441">
        <v>0.19938245415687561</v>
      </c>
      <c r="Q27" s="441">
        <v>0.23789641261100769</v>
      </c>
      <c r="R27" s="441">
        <v>0.22857697308063507</v>
      </c>
      <c r="S27" s="441">
        <v>0.25894206762313843</v>
      </c>
      <c r="T27" s="441">
        <v>0.20171956717967987</v>
      </c>
      <c r="U27" s="441">
        <v>0.17430984973907471</v>
      </c>
      <c r="V27" s="441">
        <v>0.1822313666343689</v>
      </c>
      <c r="W27" s="441">
        <v>0.17676594853401184</v>
      </c>
    </row>
    <row r="28" spans="1:23" s="342" customFormat="1" ht="15.5" x14ac:dyDescent="0.35">
      <c r="A28" s="342" t="s">
        <v>582</v>
      </c>
      <c r="B28" s="441">
        <v>9.8207168579101563</v>
      </c>
      <c r="C28" s="441">
        <v>9.835453987121582</v>
      </c>
      <c r="D28" s="441">
        <v>9.8926410675048828</v>
      </c>
      <c r="E28" s="441">
        <v>9.8422489166259766</v>
      </c>
      <c r="F28" s="441">
        <v>9.8526124954223633</v>
      </c>
      <c r="G28" s="441">
        <v>9.7868547439575195</v>
      </c>
      <c r="H28" s="441">
        <v>9.821044921875</v>
      </c>
      <c r="I28" s="441">
        <v>9.7790985107421875</v>
      </c>
      <c r="J28" s="441">
        <v>9.8119010925292969</v>
      </c>
      <c r="K28" s="441">
        <v>9.7619590759277344</v>
      </c>
      <c r="L28" s="441">
        <v>9.8227691650390625</v>
      </c>
      <c r="M28" s="441">
        <v>9.8724699020385742</v>
      </c>
      <c r="N28" s="441">
        <v>9.9065017700195313</v>
      </c>
      <c r="O28" s="441">
        <v>9.8865165710449219</v>
      </c>
      <c r="P28" s="441">
        <v>9.8813190460205078</v>
      </c>
      <c r="Q28" s="441">
        <v>9.773533821105957</v>
      </c>
      <c r="R28" s="441">
        <v>9.7343435287475586</v>
      </c>
      <c r="S28" s="441">
        <v>9.8565864562988281</v>
      </c>
      <c r="T28" s="441">
        <v>9.9470891952514648</v>
      </c>
      <c r="U28" s="441">
        <v>10.01418399810791</v>
      </c>
      <c r="V28" s="441">
        <v>9.9846735000610352</v>
      </c>
      <c r="W28" s="441">
        <v>10.023215293884277</v>
      </c>
    </row>
    <row r="29" spans="1:23" s="342" customFormat="1" ht="15.5" x14ac:dyDescent="0.35">
      <c r="A29" s="342" t="s">
        <v>576</v>
      </c>
      <c r="B29" s="441">
        <v>4.2230848222970963E-2</v>
      </c>
      <c r="C29" s="441">
        <v>3.6495525389909744E-2</v>
      </c>
      <c r="D29" s="441">
        <v>4.6049404889345169E-2</v>
      </c>
      <c r="E29" s="441">
        <v>5.1527373492717743E-2</v>
      </c>
      <c r="F29" s="441">
        <v>5.6087199598550797E-2</v>
      </c>
      <c r="G29" s="441">
        <v>5.2119925618171692E-2</v>
      </c>
      <c r="H29" s="441">
        <v>4.5086652040481567E-2</v>
      </c>
      <c r="I29" s="441">
        <v>4.4215697795152664E-2</v>
      </c>
      <c r="J29" s="441">
        <v>5.2017942070960999E-2</v>
      </c>
      <c r="K29" s="441">
        <v>5.2261419594287872E-2</v>
      </c>
      <c r="L29" s="441">
        <v>5.2903804928064346E-2</v>
      </c>
      <c r="M29" s="441">
        <v>3.432600200176239E-2</v>
      </c>
      <c r="N29" s="441">
        <v>2.8633605688810349E-2</v>
      </c>
      <c r="O29" s="441">
        <v>3.0807984992861748E-2</v>
      </c>
      <c r="P29" s="441">
        <v>3.9531856775283813E-2</v>
      </c>
      <c r="Q29" s="441">
        <v>4.060426726937294E-2</v>
      </c>
      <c r="R29" s="441">
        <v>4.1691359132528305E-2</v>
      </c>
      <c r="S29" s="441">
        <v>6.6913232207298279E-2</v>
      </c>
      <c r="T29" s="441">
        <v>6.7955397069454193E-2</v>
      </c>
      <c r="U29" s="441">
        <v>4.5484509319067001E-2</v>
      </c>
      <c r="V29" s="441">
        <v>3.6951735615730286E-2</v>
      </c>
      <c r="W29" s="441">
        <v>3.9513219147920609E-2</v>
      </c>
    </row>
    <row r="30" spans="1:23" s="342" customFormat="1" ht="15.5" x14ac:dyDescent="0.35">
      <c r="A30" s="342" t="s">
        <v>839</v>
      </c>
      <c r="B30" s="440">
        <v>113750</v>
      </c>
      <c r="C30" s="440">
        <v>60373</v>
      </c>
      <c r="D30" s="440">
        <v>43820</v>
      </c>
      <c r="E30" s="440">
        <v>114785</v>
      </c>
      <c r="F30" s="440">
        <v>55920</v>
      </c>
      <c r="G30" s="440">
        <v>47383</v>
      </c>
      <c r="H30" s="440">
        <v>35874</v>
      </c>
      <c r="I30" s="440">
        <v>42540</v>
      </c>
      <c r="J30" s="440">
        <v>64076</v>
      </c>
      <c r="K30" s="440">
        <v>44493</v>
      </c>
      <c r="L30" s="440">
        <v>64226</v>
      </c>
      <c r="M30" s="440">
        <v>49930</v>
      </c>
      <c r="N30" s="440">
        <v>41307</v>
      </c>
      <c r="O30" s="440">
        <v>16182</v>
      </c>
      <c r="P30" s="440">
        <v>81478</v>
      </c>
      <c r="Q30" s="440">
        <v>20911</v>
      </c>
      <c r="R30" s="440">
        <v>45648</v>
      </c>
      <c r="S30" s="440">
        <v>114371</v>
      </c>
      <c r="T30" s="440">
        <v>43063</v>
      </c>
      <c r="U30" s="440">
        <v>83412</v>
      </c>
      <c r="V30" s="440">
        <v>21698</v>
      </c>
      <c r="W30" s="440">
        <v>37180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W32"/>
  <sheetViews>
    <sheetView topLeftCell="A6" zoomScale="70" zoomScaleNormal="70" workbookViewId="0">
      <selection activeCell="A8" sqref="A8"/>
    </sheetView>
  </sheetViews>
  <sheetFormatPr defaultRowHeight="14" x14ac:dyDescent="0.3"/>
  <cols>
    <col min="1" max="1" width="40.4140625" customWidth="1"/>
  </cols>
  <sheetData>
    <row r="1" spans="1:23" s="342" customFormat="1" ht="18" x14ac:dyDescent="0.4">
      <c r="A1" s="406" t="s">
        <v>845</v>
      </c>
    </row>
    <row r="2" spans="1:23" s="342" customFormat="1" ht="15.5" x14ac:dyDescent="0.35">
      <c r="A2" s="342" t="s">
        <v>495</v>
      </c>
    </row>
    <row r="3" spans="1:23" s="342" customFormat="1" ht="15.5" x14ac:dyDescent="0.35"/>
    <row r="4" spans="1:23" s="342" customFormat="1" ht="15.5" x14ac:dyDescent="0.35">
      <c r="A4" s="342" t="s">
        <v>834</v>
      </c>
      <c r="B4" s="342" t="s">
        <v>47</v>
      </c>
      <c r="C4" s="342" t="s">
        <v>49</v>
      </c>
      <c r="D4" s="342" t="s">
        <v>51</v>
      </c>
      <c r="E4" s="342" t="s">
        <v>53</v>
      </c>
      <c r="F4" s="342" t="s">
        <v>55</v>
      </c>
      <c r="G4" s="342" t="s">
        <v>57</v>
      </c>
      <c r="H4" s="342" t="s">
        <v>59</v>
      </c>
      <c r="I4" s="342" t="s">
        <v>61</v>
      </c>
      <c r="J4" s="342" t="s">
        <v>63</v>
      </c>
      <c r="K4" s="342" t="s">
        <v>65</v>
      </c>
      <c r="L4" s="342" t="s">
        <v>67</v>
      </c>
      <c r="M4" s="342" t="s">
        <v>69</v>
      </c>
      <c r="N4" s="342" t="s">
        <v>71</v>
      </c>
      <c r="O4" s="342" t="s">
        <v>73</v>
      </c>
      <c r="P4" s="342" t="s">
        <v>75</v>
      </c>
      <c r="Q4" s="342" t="s">
        <v>77</v>
      </c>
      <c r="R4" s="342" t="s">
        <v>79</v>
      </c>
      <c r="S4" s="342" t="s">
        <v>37</v>
      </c>
      <c r="T4" s="342" t="s">
        <v>501</v>
      </c>
      <c r="U4" s="342" t="s">
        <v>41</v>
      </c>
      <c r="V4" s="342" t="s">
        <v>43</v>
      </c>
      <c r="W4" s="342" t="s">
        <v>45</v>
      </c>
    </row>
    <row r="5" spans="1:23" s="342" customFormat="1" ht="15.5" x14ac:dyDescent="0.35">
      <c r="A5" s="342" t="s">
        <v>841</v>
      </c>
      <c r="B5" s="440">
        <v>6.5510578453540802E-2</v>
      </c>
      <c r="C5" s="440">
        <v>6.3034437596797943E-2</v>
      </c>
      <c r="D5" s="440">
        <v>6.3338853418827057E-2</v>
      </c>
      <c r="E5" s="440">
        <v>7.0557020604610443E-2</v>
      </c>
      <c r="F5" s="440">
        <v>6.2185604125261307E-2</v>
      </c>
      <c r="G5" s="440">
        <v>5.6349709630012512E-2</v>
      </c>
      <c r="H5" s="440">
        <v>5.65328449010849E-2</v>
      </c>
      <c r="I5" s="440">
        <v>5.2537292242050171E-2</v>
      </c>
      <c r="J5" s="440">
        <v>6.3965290784835815E-2</v>
      </c>
      <c r="K5" s="440">
        <v>6.0463618487119675E-2</v>
      </c>
      <c r="L5" s="440">
        <v>6.8877086043357849E-2</v>
      </c>
      <c r="M5" s="440">
        <v>7.1533292531967163E-2</v>
      </c>
      <c r="N5" s="440">
        <v>7.6650567352771759E-2</v>
      </c>
      <c r="O5" s="440">
        <v>8.4215253591537476E-2</v>
      </c>
      <c r="P5" s="440">
        <v>8.4481112658977509E-2</v>
      </c>
      <c r="Q5" s="440">
        <v>5.8751199394464493E-2</v>
      </c>
      <c r="R5" s="440">
        <v>6.3622519373893738E-2</v>
      </c>
      <c r="S5" s="440">
        <v>7.014763355255127E-2</v>
      </c>
      <c r="T5" s="440">
        <v>7.9722404479980469E-2</v>
      </c>
      <c r="U5" s="440">
        <v>8.0155991017818451E-2</v>
      </c>
      <c r="V5" s="440">
        <v>7.0316322147846222E-2</v>
      </c>
      <c r="W5" s="440">
        <v>7.5487487018108368E-2</v>
      </c>
    </row>
    <row r="6" spans="1:23" s="342" customFormat="1" ht="15.5" x14ac:dyDescent="0.35">
      <c r="A6" s="342" t="s">
        <v>809</v>
      </c>
      <c r="B6" s="440">
        <v>0.11280250549316406</v>
      </c>
      <c r="C6" s="440">
        <v>0.11354967206716537</v>
      </c>
      <c r="D6" s="440">
        <v>0.12346227467060089</v>
      </c>
      <c r="E6" s="440">
        <v>0.11809185892343521</v>
      </c>
      <c r="F6" s="440">
        <v>0.11415793001651764</v>
      </c>
      <c r="G6" s="440">
        <v>0.10813196748495102</v>
      </c>
      <c r="H6" s="440">
        <v>0.10631458461284637</v>
      </c>
      <c r="I6" s="440">
        <v>0.10302308201789856</v>
      </c>
      <c r="J6" s="440">
        <v>0.11348399519920349</v>
      </c>
      <c r="K6" s="440">
        <v>0.10775003582239151</v>
      </c>
      <c r="L6" s="440">
        <v>0.12173018604516983</v>
      </c>
      <c r="M6" s="440">
        <v>0.12889431416988373</v>
      </c>
      <c r="N6" s="440">
        <v>0.12788964807987213</v>
      </c>
      <c r="O6" s="440">
        <v>0.13967831432819366</v>
      </c>
      <c r="P6" s="440">
        <v>0.14811329543590546</v>
      </c>
      <c r="Q6" s="440">
        <v>0.11032740026712418</v>
      </c>
      <c r="R6" s="440">
        <v>0.1156979501247406</v>
      </c>
      <c r="S6" s="440">
        <v>9.6074916422367096E-2</v>
      </c>
      <c r="T6" s="440">
        <v>0.1254483163356781</v>
      </c>
      <c r="U6" s="440">
        <v>0.14000864326953888</v>
      </c>
      <c r="V6" s="440">
        <v>0.13578183948993683</v>
      </c>
      <c r="W6" s="440">
        <v>0.14643281698226929</v>
      </c>
    </row>
    <row r="7" spans="1:23" s="342" customFormat="1" ht="15.5" x14ac:dyDescent="0.35">
      <c r="A7" s="342" t="s">
        <v>808</v>
      </c>
      <c r="B7" s="440">
        <v>9.7029566764831543E-2</v>
      </c>
      <c r="C7" s="440">
        <v>8.0028019845485687E-2</v>
      </c>
      <c r="D7" s="440">
        <v>7.7014550566673279E-2</v>
      </c>
      <c r="E7" s="440">
        <v>9.865415096282959E-2</v>
      </c>
      <c r="F7" s="440">
        <v>8.1601321697235107E-2</v>
      </c>
      <c r="G7" s="440">
        <v>7.5632542371749878E-2</v>
      </c>
      <c r="H7" s="440">
        <v>8.6590617895126343E-2</v>
      </c>
      <c r="I7" s="440">
        <v>7.5609490275382996E-2</v>
      </c>
      <c r="J7" s="440">
        <v>8.88628289103508E-2</v>
      </c>
      <c r="K7" s="440">
        <v>9.3326099216938019E-2</v>
      </c>
      <c r="L7" s="440">
        <v>0.10196822881698608</v>
      </c>
      <c r="M7" s="440">
        <v>8.1602521240711212E-2</v>
      </c>
      <c r="N7" s="440">
        <v>9.8221361637115479E-2</v>
      </c>
      <c r="O7" s="440">
        <v>8.622761070728302E-2</v>
      </c>
      <c r="P7" s="440">
        <v>9.9375955760478973E-2</v>
      </c>
      <c r="Q7" s="440">
        <v>7.7208913862705231E-2</v>
      </c>
      <c r="R7" s="440">
        <v>8.5802897810935974E-2</v>
      </c>
      <c r="S7" s="440">
        <v>0.10354068875312805</v>
      </c>
      <c r="T7" s="440">
        <v>0.10089173913002014</v>
      </c>
      <c r="U7" s="440">
        <v>8.6707592010498047E-2</v>
      </c>
      <c r="V7" s="440">
        <v>7.6012961566448212E-2</v>
      </c>
      <c r="W7" s="440">
        <v>8.0800950527191162E-2</v>
      </c>
    </row>
    <row r="8" spans="1:23" s="342" customFormat="1" ht="15.5" x14ac:dyDescent="0.35">
      <c r="A8" s="342" t="s">
        <v>810</v>
      </c>
      <c r="B8" s="440">
        <v>0.1755487322807312</v>
      </c>
      <c r="C8" s="440">
        <v>0.15145982801914215</v>
      </c>
      <c r="D8" s="440">
        <v>0.15150640904903412</v>
      </c>
      <c r="E8" s="440">
        <v>0.1871277391910553</v>
      </c>
      <c r="F8" s="440">
        <v>0.15262222290039063</v>
      </c>
      <c r="G8" s="440">
        <v>0.14461235702037811</v>
      </c>
      <c r="H8" s="440">
        <v>0.14752702414989471</v>
      </c>
      <c r="I8" s="440">
        <v>0.13093510270118713</v>
      </c>
      <c r="J8" s="440">
        <v>0.16025474667549133</v>
      </c>
      <c r="K8" s="440">
        <v>0.15482766926288605</v>
      </c>
      <c r="L8" s="440">
        <v>0.16910310089588165</v>
      </c>
      <c r="M8" s="440">
        <v>0.15201079845428467</v>
      </c>
      <c r="N8" s="440">
        <v>0.17050266265869141</v>
      </c>
      <c r="O8" s="440">
        <v>0.1598164290189743</v>
      </c>
      <c r="P8" s="440">
        <v>0.17418228089809418</v>
      </c>
      <c r="Q8" s="440">
        <v>0.13962192833423615</v>
      </c>
      <c r="R8" s="440">
        <v>0.1577160507440567</v>
      </c>
      <c r="S8" s="440">
        <v>0.25253146886825562</v>
      </c>
      <c r="T8" s="440">
        <v>0.21420837938785553</v>
      </c>
      <c r="U8" s="440">
        <v>0.18563014268875122</v>
      </c>
      <c r="V8" s="440">
        <v>0.14863239228725433</v>
      </c>
      <c r="W8" s="440">
        <v>0.16439978778362274</v>
      </c>
    </row>
    <row r="9" spans="1:23" s="342" customFormat="1" ht="15.5" x14ac:dyDescent="0.35">
      <c r="A9" s="342" t="s">
        <v>842</v>
      </c>
      <c r="B9" s="440">
        <v>0.18520741164684296</v>
      </c>
      <c r="C9" s="440">
        <v>0.17785410583019257</v>
      </c>
      <c r="D9" s="440">
        <v>0.1890178769826889</v>
      </c>
      <c r="E9" s="440">
        <v>0.18225201964378357</v>
      </c>
      <c r="F9" s="440">
        <v>0.18261834979057312</v>
      </c>
      <c r="G9" s="440">
        <v>0.18414957821369171</v>
      </c>
      <c r="H9" s="440">
        <v>0.17964848875999451</v>
      </c>
      <c r="I9" s="440">
        <v>0.16844728589057922</v>
      </c>
      <c r="J9" s="440">
        <v>0.17138479650020599</v>
      </c>
      <c r="K9" s="440">
        <v>0.1609957218170166</v>
      </c>
      <c r="L9" s="440">
        <v>0.17136326432228088</v>
      </c>
      <c r="M9" s="440">
        <v>0.17124821245670319</v>
      </c>
      <c r="N9" s="440">
        <v>0.17465262115001678</v>
      </c>
      <c r="O9" s="440">
        <v>0.1690385490655899</v>
      </c>
      <c r="P9" s="440">
        <v>0.17334716022014618</v>
      </c>
      <c r="Q9" s="440">
        <v>0.1648087352514267</v>
      </c>
      <c r="R9" s="440">
        <v>0.16517597436904907</v>
      </c>
      <c r="S9" s="440">
        <v>0.18867959082126617</v>
      </c>
      <c r="T9" s="440">
        <v>0.20093759894371033</v>
      </c>
      <c r="U9" s="440">
        <v>0.20947146415710449</v>
      </c>
      <c r="V9" s="440">
        <v>0.21075533330440521</v>
      </c>
      <c r="W9" s="440">
        <v>0.21364763379096985</v>
      </c>
    </row>
    <row r="10" spans="1:23" s="342" customFormat="1" ht="15.5" x14ac:dyDescent="0.35">
      <c r="A10" s="342" t="s">
        <v>816</v>
      </c>
      <c r="B10" s="440">
        <v>0.12853820621967316</v>
      </c>
      <c r="C10" s="440">
        <v>0.14121395349502563</v>
      </c>
      <c r="D10" s="440">
        <v>0.14269715547561646</v>
      </c>
      <c r="E10" s="440">
        <v>0.12341204285621643</v>
      </c>
      <c r="F10" s="440">
        <v>0.1401822417974472</v>
      </c>
      <c r="G10" s="440">
        <v>0.15042386949062347</v>
      </c>
      <c r="H10" s="440">
        <v>0.14817145466804504</v>
      </c>
      <c r="I10" s="440">
        <v>0.16215552389621735</v>
      </c>
      <c r="J10" s="440">
        <v>0.14906150102615356</v>
      </c>
      <c r="K10" s="440">
        <v>0.15722568333148956</v>
      </c>
      <c r="L10" s="440">
        <v>0.13432770967483521</v>
      </c>
      <c r="M10" s="440">
        <v>0.14053654670715332</v>
      </c>
      <c r="N10" s="440">
        <v>0.11980341374874115</v>
      </c>
      <c r="O10" s="440">
        <v>0.12674996256828308</v>
      </c>
      <c r="P10" s="440">
        <v>0.12441006302833557</v>
      </c>
      <c r="Q10" s="440">
        <v>0.1667274683713913</v>
      </c>
      <c r="R10" s="440">
        <v>0.15917813777923584</v>
      </c>
      <c r="S10" s="440">
        <v>0.11387331783771515</v>
      </c>
      <c r="T10" s="440">
        <v>0.11689937859773636</v>
      </c>
      <c r="U10" s="440">
        <v>0.11949556320905685</v>
      </c>
      <c r="V10" s="440">
        <v>0.13738179206848145</v>
      </c>
      <c r="W10" s="440">
        <v>0.13179810345172882</v>
      </c>
    </row>
    <row r="11" spans="1:23" s="342" customFormat="1" ht="15.5" x14ac:dyDescent="0.35">
      <c r="A11" s="342" t="s">
        <v>817</v>
      </c>
      <c r="B11" s="440">
        <v>0.13127565383911133</v>
      </c>
      <c r="C11" s="440">
        <v>0.14936725795269012</v>
      </c>
      <c r="D11" s="440">
        <v>0.14220069348812103</v>
      </c>
      <c r="E11" s="440">
        <v>0.1223008781671524</v>
      </c>
      <c r="F11" s="440">
        <v>0.15189746022224426</v>
      </c>
      <c r="G11" s="440">
        <v>0.15552449226379395</v>
      </c>
      <c r="H11" s="440">
        <v>0.14775717258453369</v>
      </c>
      <c r="I11" s="440">
        <v>0.16712535917758942</v>
      </c>
      <c r="J11" s="440">
        <v>0.1405530720949173</v>
      </c>
      <c r="K11" s="440">
        <v>0.14885646104812622</v>
      </c>
      <c r="L11" s="440">
        <v>0.1300102174282074</v>
      </c>
      <c r="M11" s="440">
        <v>0.13871920108795166</v>
      </c>
      <c r="N11" s="440">
        <v>0.1237003281712532</v>
      </c>
      <c r="O11" s="440">
        <v>0.13232377171516418</v>
      </c>
      <c r="P11" s="440">
        <v>0.11085092276334763</v>
      </c>
      <c r="Q11" s="440">
        <v>0.15594470500946045</v>
      </c>
      <c r="R11" s="440">
        <v>0.14124000072479248</v>
      </c>
      <c r="S11" s="440">
        <v>9.9050506949424744E-2</v>
      </c>
      <c r="T11" s="440">
        <v>9.8632320761680603E-2</v>
      </c>
      <c r="U11" s="440">
        <v>0.10599853843450546</v>
      </c>
      <c r="V11" s="440">
        <v>0.12818971276283264</v>
      </c>
      <c r="W11" s="440">
        <v>0.11314048618078232</v>
      </c>
    </row>
    <row r="12" spans="1:23" s="342" customFormat="1" ht="15.5" x14ac:dyDescent="0.35">
      <c r="A12" s="342" t="s">
        <v>843</v>
      </c>
      <c r="B12" s="440">
        <v>0.10408735275268555</v>
      </c>
      <c r="C12" s="440">
        <v>0.12349272519350052</v>
      </c>
      <c r="D12" s="440">
        <v>0.11076217889785767</v>
      </c>
      <c r="E12" s="440">
        <v>9.7604289650917053E-2</v>
      </c>
      <c r="F12" s="440">
        <v>0.11473487317562103</v>
      </c>
      <c r="G12" s="440">
        <v>0.12517550587654114</v>
      </c>
      <c r="H12" s="440">
        <v>0.12745782732963562</v>
      </c>
      <c r="I12" s="440">
        <v>0.14016686379909515</v>
      </c>
      <c r="J12" s="440">
        <v>0.11243376880884171</v>
      </c>
      <c r="K12" s="440">
        <v>0.11655472218990326</v>
      </c>
      <c r="L12" s="440">
        <v>0.1026201993227005</v>
      </c>
      <c r="M12" s="440">
        <v>0.11545509845018387</v>
      </c>
      <c r="N12" s="440">
        <v>0.10857939720153809</v>
      </c>
      <c r="O12" s="440">
        <v>0.10195010900497437</v>
      </c>
      <c r="P12" s="440">
        <v>8.5239209234714508E-2</v>
      </c>
      <c r="Q12" s="440">
        <v>0.12660963833332062</v>
      </c>
      <c r="R12" s="440">
        <v>0.11156646907329559</v>
      </c>
      <c r="S12" s="440">
        <v>7.6101869344711304E-2</v>
      </c>
      <c r="T12" s="440">
        <v>6.3259877264499664E-2</v>
      </c>
      <c r="U12" s="440">
        <v>7.253207266330719E-2</v>
      </c>
      <c r="V12" s="440">
        <v>9.2929646372795105E-2</v>
      </c>
      <c r="W12" s="440">
        <v>7.4292711913585663E-2</v>
      </c>
    </row>
    <row r="13" spans="1:23" s="342" customFormat="1" ht="15.5" x14ac:dyDescent="0.35">
      <c r="A13" s="342" t="s">
        <v>542</v>
      </c>
      <c r="B13" s="440">
        <v>1.5621895901858807E-2</v>
      </c>
      <c r="C13" s="440">
        <v>1.6600379720330238E-2</v>
      </c>
      <c r="D13" s="440">
        <v>1.6735266894102097E-2</v>
      </c>
      <c r="E13" s="440">
        <v>1.6839886084198952E-2</v>
      </c>
      <c r="F13" s="440">
        <v>1.8938906490802765E-2</v>
      </c>
      <c r="G13" s="440">
        <v>1.7582625150680542E-2</v>
      </c>
      <c r="H13" s="440">
        <v>1.766028068959713E-2</v>
      </c>
      <c r="I13" s="440">
        <v>1.9445950165390968E-2</v>
      </c>
      <c r="J13" s="440">
        <v>1.9468726590275764E-2</v>
      </c>
      <c r="K13" s="440">
        <v>1.9732996821403503E-2</v>
      </c>
      <c r="L13" s="440">
        <v>1.739313080906868E-2</v>
      </c>
      <c r="M13" s="440">
        <v>1.4599877409636974E-2</v>
      </c>
      <c r="N13" s="440">
        <v>8.9522190392017365E-3</v>
      </c>
      <c r="O13" s="440">
        <v>1.3912816531956196E-2</v>
      </c>
      <c r="P13" s="440">
        <v>1.3761302456259727E-2</v>
      </c>
      <c r="Q13" s="440">
        <v>1.8173957243561745E-2</v>
      </c>
      <c r="R13" s="440">
        <v>1.6647744923830032E-2</v>
      </c>
      <c r="S13" s="440">
        <v>1.6590094193816185E-2</v>
      </c>
      <c r="T13" s="440">
        <v>1.6616666689515114E-2</v>
      </c>
      <c r="U13" s="440">
        <v>1.2726502493023872E-2</v>
      </c>
      <c r="V13" s="440">
        <v>1.5877220779657364E-2</v>
      </c>
      <c r="W13" s="440">
        <v>1.4317113906145096E-2</v>
      </c>
    </row>
    <row r="14" spans="1:23" s="342" customFormat="1" ht="15.5" x14ac:dyDescent="0.35">
      <c r="A14" s="342" t="s">
        <v>544</v>
      </c>
      <c r="B14" s="440">
        <v>2.0173972472548485E-2</v>
      </c>
      <c r="C14" s="440">
        <v>2.1395642310380936E-2</v>
      </c>
      <c r="D14" s="440">
        <v>1.9587015733122826E-2</v>
      </c>
      <c r="E14" s="440">
        <v>1.9686765968799591E-2</v>
      </c>
      <c r="F14" s="440">
        <v>2.4021703749895096E-2</v>
      </c>
      <c r="G14" s="440">
        <v>2.3601476103067398E-2</v>
      </c>
      <c r="H14" s="440">
        <v>2.3659560829401016E-2</v>
      </c>
      <c r="I14" s="440">
        <v>2.7659190818667412E-2</v>
      </c>
      <c r="J14" s="440">
        <v>2.8375934809446335E-2</v>
      </c>
      <c r="K14" s="440">
        <v>2.998126856982708E-2</v>
      </c>
      <c r="L14" s="440">
        <v>2.3097874596714973E-2</v>
      </c>
      <c r="M14" s="440">
        <v>2.4343311786651611E-2</v>
      </c>
      <c r="N14" s="440">
        <v>1.7274634912610054E-2</v>
      </c>
      <c r="O14" s="440">
        <v>2.1151535212993622E-2</v>
      </c>
      <c r="P14" s="440">
        <v>2.2925877943634987E-2</v>
      </c>
      <c r="Q14" s="440">
        <v>2.5578660890460014E-2</v>
      </c>
      <c r="R14" s="440">
        <v>2.2246835753321648E-2</v>
      </c>
      <c r="S14" s="440">
        <v>2.1483046934008598E-2</v>
      </c>
      <c r="T14" s="440">
        <v>1.8368558958172798E-2</v>
      </c>
      <c r="U14" s="440">
        <v>1.6324425116181374E-2</v>
      </c>
      <c r="V14" s="440">
        <v>1.6111608594655991E-2</v>
      </c>
      <c r="W14" s="440">
        <v>1.8052671104669571E-2</v>
      </c>
    </row>
    <row r="15" spans="1:23" s="342" customFormat="1" ht="15.5" x14ac:dyDescent="0.35">
      <c r="A15" s="342" t="s">
        <v>551</v>
      </c>
      <c r="B15" s="440">
        <v>6.4184269867837429E-3</v>
      </c>
      <c r="C15" s="440">
        <v>8.7860431522130966E-3</v>
      </c>
      <c r="D15" s="440">
        <v>7.3833754286170006E-3</v>
      </c>
      <c r="E15" s="440">
        <v>6.2110256403684616E-3</v>
      </c>
      <c r="F15" s="440">
        <v>7.1092420257627964E-3</v>
      </c>
      <c r="G15" s="440">
        <v>8.4121730178594589E-3</v>
      </c>
      <c r="H15" s="440">
        <v>7.6410253532230854E-3</v>
      </c>
      <c r="I15" s="440">
        <v>9.9613536149263382E-3</v>
      </c>
      <c r="J15" s="440">
        <v>9.7995083779096603E-3</v>
      </c>
      <c r="K15" s="440">
        <v>1.0063351131975651E-2</v>
      </c>
      <c r="L15" s="440">
        <v>7.4614430777728558E-3</v>
      </c>
      <c r="M15" s="440">
        <v>8.6947670206427574E-3</v>
      </c>
      <c r="N15" s="440">
        <v>6.4611178822815418E-3</v>
      </c>
      <c r="O15" s="440">
        <v>8.9036235585808754E-3</v>
      </c>
      <c r="P15" s="440">
        <v>1.0242760181427002E-2</v>
      </c>
      <c r="Q15" s="440">
        <v>1.130974106490612E-2</v>
      </c>
      <c r="R15" s="440">
        <v>1.1209259741008282E-2</v>
      </c>
      <c r="S15" s="440">
        <v>3.9327391423285007E-3</v>
      </c>
      <c r="T15" s="440">
        <v>4.5150713995099068E-3</v>
      </c>
      <c r="U15" s="440">
        <v>4.6210088767111301E-3</v>
      </c>
      <c r="V15" s="440">
        <v>5.7374043390154839E-3</v>
      </c>
      <c r="W15" s="440">
        <v>5.6764334440231323E-3</v>
      </c>
    </row>
    <row r="16" spans="1:23" s="342" customFormat="1" ht="15.5" x14ac:dyDescent="0.35">
      <c r="A16" s="342" t="s">
        <v>554</v>
      </c>
      <c r="B16" s="440">
        <v>2.8884990606456995E-3</v>
      </c>
      <c r="C16" s="440">
        <v>2.4224894586950541E-3</v>
      </c>
      <c r="D16" s="440">
        <v>2.5688835885375738E-3</v>
      </c>
      <c r="E16" s="440">
        <v>2.8928588144481182E-3</v>
      </c>
      <c r="F16" s="440">
        <v>2.2791533265262842E-3</v>
      </c>
      <c r="G16" s="440">
        <v>2.2037522867321968E-3</v>
      </c>
      <c r="H16" s="440">
        <v>2.2938419133424759E-3</v>
      </c>
      <c r="I16" s="440">
        <v>2.557156840339303E-3</v>
      </c>
      <c r="J16" s="440">
        <v>2.0728211384266615E-3</v>
      </c>
      <c r="K16" s="440">
        <v>2.5053985882550478E-3</v>
      </c>
      <c r="L16" s="440">
        <v>2.3652049712836742E-3</v>
      </c>
      <c r="M16" s="440">
        <v>2.0718793384730816E-3</v>
      </c>
      <c r="N16" s="440">
        <v>2.2717942483723164E-3</v>
      </c>
      <c r="O16" s="440">
        <v>2.1716156043112278E-3</v>
      </c>
      <c r="P16" s="440">
        <v>2.3152104113250971E-3</v>
      </c>
      <c r="Q16" s="440">
        <v>1.7430783482268453E-3</v>
      </c>
      <c r="R16" s="440">
        <v>3.2398304902017117E-3</v>
      </c>
      <c r="S16" s="440">
        <v>2.0950105972588062E-3</v>
      </c>
      <c r="T16" s="440">
        <v>2.4586650542914867E-3</v>
      </c>
      <c r="U16" s="440">
        <v>2.1446275059133768E-3</v>
      </c>
      <c r="V16" s="440">
        <v>1.9362465245649219E-3</v>
      </c>
      <c r="W16" s="440">
        <v>2.2786392364650965E-3</v>
      </c>
    </row>
    <row r="17" spans="1:23" s="342" customFormat="1" ht="15.5" x14ac:dyDescent="0.35">
      <c r="A17" s="342" t="s">
        <v>557</v>
      </c>
      <c r="B17" s="440">
        <v>7.0536481216549873E-3</v>
      </c>
      <c r="C17" s="440">
        <v>7.1951551362872124E-3</v>
      </c>
      <c r="D17" s="440">
        <v>6.1191385611891747E-3</v>
      </c>
      <c r="E17" s="440">
        <v>6.6554909572005272E-3</v>
      </c>
      <c r="F17" s="440">
        <v>5.8075496926903725E-3</v>
      </c>
      <c r="G17" s="440">
        <v>5.8885207399725914E-3</v>
      </c>
      <c r="H17" s="440">
        <v>6.3598491251468658E-3</v>
      </c>
      <c r="I17" s="440">
        <v>8.4588434547185898E-3</v>
      </c>
      <c r="J17" s="440">
        <v>6.2105669640004635E-3</v>
      </c>
      <c r="K17" s="440">
        <v>1.054653525352478E-2</v>
      </c>
      <c r="L17" s="440">
        <v>5.9438003227114677E-3</v>
      </c>
      <c r="M17" s="440">
        <v>4.841173067688942E-3</v>
      </c>
      <c r="N17" s="440">
        <v>4.3748910538852215E-3</v>
      </c>
      <c r="O17" s="440">
        <v>6.1239558272063732E-3</v>
      </c>
      <c r="P17" s="440">
        <v>4.7026206739246845E-3</v>
      </c>
      <c r="Q17" s="440">
        <v>5.3103086538612843E-3</v>
      </c>
      <c r="R17" s="440">
        <v>7.1719326078891754E-3</v>
      </c>
      <c r="S17" s="440">
        <v>5.9098289348185062E-3</v>
      </c>
      <c r="T17" s="440">
        <v>6.9962930865585804E-3</v>
      </c>
      <c r="U17" s="440">
        <v>5.1175691187381744E-3</v>
      </c>
      <c r="V17" s="440">
        <v>5.9717921540141106E-3</v>
      </c>
      <c r="W17" s="440">
        <v>6.2813814729452133E-3</v>
      </c>
    </row>
    <row r="18" spans="1:23" s="342" customFormat="1" ht="15.5" x14ac:dyDescent="0.35">
      <c r="A18" s="342" t="s">
        <v>548</v>
      </c>
      <c r="B18" s="440">
        <v>4.3534399010241032E-3</v>
      </c>
      <c r="C18" s="440">
        <v>4.5376480557024479E-3</v>
      </c>
      <c r="D18" s="440">
        <v>3.9254850707948208E-3</v>
      </c>
      <c r="E18" s="440">
        <v>3.8066958077251911E-3</v>
      </c>
      <c r="F18" s="440">
        <v>3.8049463182687759E-3</v>
      </c>
      <c r="G18" s="440">
        <v>3.5959077067673206E-3</v>
      </c>
      <c r="H18" s="440">
        <v>3.3218513708561659E-3</v>
      </c>
      <c r="I18" s="440">
        <v>5.2154441364109516E-3</v>
      </c>
      <c r="J18" s="440">
        <v>4.2285551317036152E-3</v>
      </c>
      <c r="K18" s="440">
        <v>4.193559754639864E-3</v>
      </c>
      <c r="L18" s="440">
        <v>3.3033185172826052E-3</v>
      </c>
      <c r="M18" s="440">
        <v>4.3015680275857449E-3</v>
      </c>
      <c r="N18" s="440">
        <v>3.8969144225120544E-3</v>
      </c>
      <c r="O18" s="440">
        <v>3.6627915687859058E-3</v>
      </c>
      <c r="P18" s="440">
        <v>3.4439356531947851E-3</v>
      </c>
      <c r="Q18" s="440">
        <v>4.7968435101211071E-3</v>
      </c>
      <c r="R18" s="440">
        <v>4.3031596578657627E-3</v>
      </c>
      <c r="S18" s="440">
        <v>3.177738981321454E-3</v>
      </c>
      <c r="T18" s="440">
        <v>3.1391214579343796E-3</v>
      </c>
      <c r="U18" s="440">
        <v>3.1206256244331598E-3</v>
      </c>
      <c r="V18" s="440">
        <v>3.3833361230790615E-3</v>
      </c>
      <c r="W18" s="440">
        <v>3.5591134801506996E-3</v>
      </c>
    </row>
    <row r="19" spans="1:23" s="342" customFormat="1" ht="15.5" x14ac:dyDescent="0.35">
      <c r="A19" s="342" t="s">
        <v>550</v>
      </c>
      <c r="B19" s="440">
        <v>9.5593591686338186E-4</v>
      </c>
      <c r="C19" s="440">
        <v>6.9149414775893092E-4</v>
      </c>
      <c r="D19" s="440">
        <v>7.2159653063863516E-4</v>
      </c>
      <c r="E19" s="440">
        <v>4.6362372813746333E-4</v>
      </c>
      <c r="F19" s="440">
        <v>7.1521551581099629E-4</v>
      </c>
      <c r="G19" s="440">
        <v>5.805583787150681E-4</v>
      </c>
      <c r="H19" s="440">
        <v>5.2934815175831318E-4</v>
      </c>
      <c r="I19" s="440">
        <v>6.2845379579812288E-4</v>
      </c>
      <c r="J19" s="440">
        <v>6.4750987803563476E-4</v>
      </c>
      <c r="K19" s="440">
        <v>7.038976764306426E-4</v>
      </c>
      <c r="L19" s="440">
        <v>6.9905753480270505E-4</v>
      </c>
      <c r="M19" s="440">
        <v>5.6505802785977721E-4</v>
      </c>
      <c r="N19" s="440">
        <v>5.2296253852546215E-4</v>
      </c>
      <c r="O19" s="440">
        <v>5.6462001521140337E-4</v>
      </c>
      <c r="P19" s="440">
        <v>7.7494565630331635E-4</v>
      </c>
      <c r="Q19" s="440">
        <v>6.8912399001419544E-4</v>
      </c>
      <c r="R19" s="440">
        <v>7.3657685425132513E-4</v>
      </c>
      <c r="S19" s="440">
        <v>4.9924961058422923E-4</v>
      </c>
      <c r="T19" s="440">
        <v>4.8872549086809158E-4</v>
      </c>
      <c r="U19" s="440">
        <v>5.3936737822368741E-4</v>
      </c>
      <c r="V19" s="440">
        <v>4.4839392649009824E-4</v>
      </c>
      <c r="W19" s="440">
        <v>5.8982474729418755E-4</v>
      </c>
    </row>
    <row r="20" spans="1:23" s="342" customFormat="1" ht="15.5" x14ac:dyDescent="0.35">
      <c r="A20" s="342" t="s">
        <v>553</v>
      </c>
      <c r="B20" s="440">
        <v>3.4099186304956675E-3</v>
      </c>
      <c r="C20" s="440">
        <v>3.2721685711294413E-3</v>
      </c>
      <c r="D20" s="440">
        <v>3.7811656948179007E-3</v>
      </c>
      <c r="E20" s="440">
        <v>3.0269648414105177E-3</v>
      </c>
      <c r="F20" s="440">
        <v>4.2960611172020435E-3</v>
      </c>
      <c r="G20" s="440">
        <v>3.9987443014979362E-3</v>
      </c>
      <c r="H20" s="440">
        <v>4.5186383649706841E-3</v>
      </c>
      <c r="I20" s="440">
        <v>5.3021274507045746E-3</v>
      </c>
      <c r="J20" s="440">
        <v>4.5878440141677856E-3</v>
      </c>
      <c r="K20" s="440">
        <v>5.3150239400565624E-3</v>
      </c>
      <c r="L20" s="440">
        <v>3.310562577098608E-3</v>
      </c>
      <c r="M20" s="440">
        <v>4.2150276713073254E-3</v>
      </c>
      <c r="N20" s="440">
        <v>3.6045054439455271E-3</v>
      </c>
      <c r="O20" s="440">
        <v>3.8509981241077185E-3</v>
      </c>
      <c r="P20" s="440">
        <v>3.6485020536929369E-3</v>
      </c>
      <c r="Q20" s="440">
        <v>4.6346965245902538E-3</v>
      </c>
      <c r="R20" s="440">
        <v>3.815800417214632E-3</v>
      </c>
      <c r="S20" s="440">
        <v>2.5866029318422079E-3</v>
      </c>
      <c r="T20" s="440">
        <v>2.2556560579687357E-3</v>
      </c>
      <c r="U20" s="440">
        <v>2.448556711897254E-3</v>
      </c>
      <c r="V20" s="440">
        <v>3.4852437674999237E-3</v>
      </c>
      <c r="W20" s="440">
        <v>3.0045774765312672E-3</v>
      </c>
    </row>
    <row r="21" spans="1:23" s="342" customFormat="1" ht="15.5" x14ac:dyDescent="0.35">
      <c r="A21" s="342" t="s">
        <v>556</v>
      </c>
      <c r="B21" s="440">
        <v>1.3149291276931763E-2</v>
      </c>
      <c r="C21" s="440">
        <v>1.4412907883524895E-2</v>
      </c>
      <c r="D21" s="440">
        <v>1.3190784491598606E-2</v>
      </c>
      <c r="E21" s="440">
        <v>1.0920063592493534E-2</v>
      </c>
      <c r="F21" s="440">
        <v>1.4604700729250908E-2</v>
      </c>
      <c r="G21" s="440">
        <v>1.3471324928104877E-2</v>
      </c>
      <c r="H21" s="440">
        <v>1.3118627481162548E-2</v>
      </c>
      <c r="I21" s="440">
        <v>1.5956947579979897E-2</v>
      </c>
      <c r="J21" s="440">
        <v>1.5702113509178162E-2</v>
      </c>
      <c r="K21" s="440">
        <v>1.5962967649102211E-2</v>
      </c>
      <c r="L21" s="440">
        <v>1.3944930396974087E-2</v>
      </c>
      <c r="M21" s="440">
        <v>1.5266748145222664E-2</v>
      </c>
      <c r="N21" s="440">
        <v>1.1567031964659691E-2</v>
      </c>
      <c r="O21" s="440">
        <v>1.5563244931399822E-2</v>
      </c>
      <c r="P21" s="440">
        <v>1.4038068242371082E-2</v>
      </c>
      <c r="Q21" s="440">
        <v>1.8484737724065781E-2</v>
      </c>
      <c r="R21" s="440">
        <v>1.6276687383651733E-2</v>
      </c>
      <c r="S21" s="440">
        <v>1.1092223227024078E-2</v>
      </c>
      <c r="T21" s="440">
        <v>1.0586545802652836E-2</v>
      </c>
      <c r="U21" s="440">
        <v>1.0134542360901833E-2</v>
      </c>
      <c r="V21" s="440">
        <v>1.1709196493029594E-2</v>
      </c>
      <c r="W21" s="440">
        <v>1.1998144909739494E-2</v>
      </c>
    </row>
    <row r="22" spans="1:23" s="342" customFormat="1" ht="15.5" x14ac:dyDescent="0.35">
      <c r="A22" s="342" t="s">
        <v>567</v>
      </c>
      <c r="B22" s="440">
        <v>1.2414752272889018E-3</v>
      </c>
      <c r="C22" s="440">
        <v>1.3965470716357231E-3</v>
      </c>
      <c r="D22" s="440">
        <v>1.1314633302390575E-3</v>
      </c>
      <c r="E22" s="440">
        <v>1.034532324410975E-3</v>
      </c>
      <c r="F22" s="440">
        <v>1.4542714925482869E-3</v>
      </c>
      <c r="G22" s="440">
        <v>1.1137243127450347E-3</v>
      </c>
      <c r="H22" s="440">
        <v>1.2044587638229132E-3</v>
      </c>
      <c r="I22" s="440">
        <v>1.4663921901956201E-3</v>
      </c>
      <c r="J22" s="440">
        <v>1.4253113185986876E-3</v>
      </c>
      <c r="K22" s="440">
        <v>1.4793782029300928E-3</v>
      </c>
      <c r="L22" s="440">
        <v>1.3075636234134436E-3</v>
      </c>
      <c r="M22" s="440">
        <v>1.3337405398488045E-3</v>
      </c>
      <c r="N22" s="440">
        <v>1.3045947998762131E-3</v>
      </c>
      <c r="O22" s="440">
        <v>1.1437175562605262E-3</v>
      </c>
      <c r="P22" s="440">
        <v>1.1768584372475743E-3</v>
      </c>
      <c r="Q22" s="440">
        <v>1.9322496373206377E-3</v>
      </c>
      <c r="R22" s="440">
        <v>1.5506881754845381E-3</v>
      </c>
      <c r="S22" s="440">
        <v>9.7552756778895855E-4</v>
      </c>
      <c r="T22" s="440">
        <v>8.5338985081762075E-4</v>
      </c>
      <c r="U22" s="440">
        <v>9.5673504984006286E-4</v>
      </c>
      <c r="V22" s="440">
        <v>9.069786174222827E-4</v>
      </c>
      <c r="W22" s="440">
        <v>1.0132887400686741E-3</v>
      </c>
    </row>
    <row r="23" spans="1:23" s="342" customFormat="1" ht="15.5" x14ac:dyDescent="0.35">
      <c r="A23" s="342" t="s">
        <v>566</v>
      </c>
      <c r="B23" s="440">
        <v>7.7799113932996988E-4</v>
      </c>
      <c r="C23" s="440">
        <v>6.7793548805639148E-4</v>
      </c>
      <c r="D23" s="440">
        <v>1.4143291627988219E-3</v>
      </c>
      <c r="E23" s="440">
        <v>8.697734447196126E-4</v>
      </c>
      <c r="F23" s="440">
        <v>7.1521551581099629E-4</v>
      </c>
      <c r="G23" s="440">
        <v>8.5898948600515723E-4</v>
      </c>
      <c r="H23" s="440">
        <v>5.6770670926198363E-4</v>
      </c>
      <c r="I23" s="440">
        <v>4.3341639684513211E-4</v>
      </c>
      <c r="J23" s="440">
        <v>1.1055046343244612E-4</v>
      </c>
      <c r="K23" s="440">
        <v>3.9370547165162861E-4</v>
      </c>
      <c r="L23" s="440">
        <v>6.3748250249773264E-4</v>
      </c>
      <c r="M23" s="440">
        <v>9.2649157159030437E-4</v>
      </c>
      <c r="N23" s="440">
        <v>5.3983234101906419E-4</v>
      </c>
      <c r="O23" s="440">
        <v>1.1292400304228067E-3</v>
      </c>
      <c r="P23" s="440">
        <v>9.5544545911252499E-4</v>
      </c>
      <c r="Q23" s="440">
        <v>1.7025416018441319E-3</v>
      </c>
      <c r="R23" s="440">
        <v>9.3041284708306193E-4</v>
      </c>
      <c r="S23" s="440">
        <v>3.6448283935897052E-4</v>
      </c>
      <c r="T23" s="440">
        <v>5.0376320723444223E-4</v>
      </c>
      <c r="U23" s="440">
        <v>5.2010425133630633E-4</v>
      </c>
      <c r="V23" s="440">
        <v>2.7515081455931067E-4</v>
      </c>
      <c r="W23" s="440">
        <v>6.7552580730989575E-4</v>
      </c>
    </row>
    <row r="24" spans="1:23" s="342" customFormat="1" ht="15.5" x14ac:dyDescent="0.35">
      <c r="A24" s="342" t="s">
        <v>510</v>
      </c>
      <c r="B24" s="440">
        <v>0.14372351765632629</v>
      </c>
      <c r="C24" s="440">
        <v>0.15199765563011169</v>
      </c>
      <c r="D24" s="440">
        <v>0.15905141830444336</v>
      </c>
      <c r="E24" s="440">
        <v>0.13944154977798462</v>
      </c>
      <c r="F24" s="440">
        <v>0.16827590763568878</v>
      </c>
      <c r="G24" s="440">
        <v>0.14175696671009064</v>
      </c>
      <c r="H24" s="440">
        <v>0.15499159693717957</v>
      </c>
      <c r="I24" s="440">
        <v>0.16568787395954132</v>
      </c>
      <c r="J24" s="440">
        <v>0.1464359313249588</v>
      </c>
      <c r="K24" s="440">
        <v>0.17395220696926117</v>
      </c>
      <c r="L24" s="440">
        <v>0.15694747865200043</v>
      </c>
      <c r="M24" s="440">
        <v>0.16668702661991119</v>
      </c>
      <c r="N24" s="440">
        <v>9.0067647397518158E-2</v>
      </c>
      <c r="O24" s="440">
        <v>0.14891491830348969</v>
      </c>
      <c r="P24" s="440">
        <v>0.11045141518115997</v>
      </c>
      <c r="Q24" s="440">
        <v>0.13864904642105103</v>
      </c>
      <c r="R24" s="440">
        <v>0.15443192422389984</v>
      </c>
      <c r="S24" s="440">
        <v>0.12730865180492401</v>
      </c>
      <c r="T24" s="440">
        <v>0.13512507081031799</v>
      </c>
      <c r="U24" s="440">
        <v>0.13227343559265137</v>
      </c>
      <c r="V24" s="440">
        <v>0.15400293469429016</v>
      </c>
      <c r="W24" s="440">
        <v>0.15367203950881958</v>
      </c>
    </row>
    <row r="25" spans="1:23" s="342" customFormat="1" ht="15.5" x14ac:dyDescent="0.35">
      <c r="A25" s="342" t="s">
        <v>571</v>
      </c>
      <c r="B25" s="440">
        <v>1.470941212028265E-2</v>
      </c>
      <c r="C25" s="440">
        <v>1.4001627452671528E-2</v>
      </c>
      <c r="D25" s="440">
        <v>1.3109965249896049E-2</v>
      </c>
      <c r="E25" s="440">
        <v>1.2751568108797073E-2</v>
      </c>
      <c r="F25" s="440">
        <v>1.3422210700809956E-2</v>
      </c>
      <c r="G25" s="440">
        <v>1.2825601734220982E-2</v>
      </c>
      <c r="H25" s="440">
        <v>1.3939500786364079E-2</v>
      </c>
      <c r="I25" s="440">
        <v>1.7054935917258263E-2</v>
      </c>
      <c r="J25" s="440">
        <v>1.7806520685553551E-2</v>
      </c>
      <c r="K25" s="440">
        <v>1.6458082944154739E-2</v>
      </c>
      <c r="L25" s="440">
        <v>1.2264294549822807E-2</v>
      </c>
      <c r="M25" s="440">
        <v>1.2309102341532707E-2</v>
      </c>
      <c r="N25" s="440">
        <v>1.191567350178957E-2</v>
      </c>
      <c r="O25" s="440">
        <v>1.6373980790376663E-2</v>
      </c>
      <c r="P25" s="440">
        <v>1.2613323517143726E-2</v>
      </c>
      <c r="Q25" s="440">
        <v>1.5093167312443256E-2</v>
      </c>
      <c r="R25" s="440">
        <v>1.4836762100458145E-2</v>
      </c>
      <c r="S25" s="440">
        <v>1.3211737386882305E-2</v>
      </c>
      <c r="T25" s="440">
        <v>1.1150459758937359E-2</v>
      </c>
      <c r="U25" s="440">
        <v>1.2578818015754223E-2</v>
      </c>
      <c r="V25" s="440">
        <v>1.1576715856790543E-2</v>
      </c>
      <c r="W25" s="440">
        <v>1.1877154931426048E-2</v>
      </c>
    </row>
    <row r="26" spans="1:23" s="342" customFormat="1" ht="15.5" x14ac:dyDescent="0.35">
      <c r="A26" s="342" t="s">
        <v>573</v>
      </c>
      <c r="B26" s="440">
        <v>1.6793021932244301E-2</v>
      </c>
      <c r="C26" s="440">
        <v>1.7947211861610413E-2</v>
      </c>
      <c r="D26" s="440">
        <v>1.6002124175429344E-2</v>
      </c>
      <c r="E26" s="440">
        <v>1.5504574403166771E-2</v>
      </c>
      <c r="F26" s="440">
        <v>1.7150867730379105E-2</v>
      </c>
      <c r="G26" s="440">
        <v>1.9614581018686295E-2</v>
      </c>
      <c r="H26" s="440">
        <v>1.6194984316825867E-2</v>
      </c>
      <c r="I26" s="440">
        <v>1.9026979804039001E-2</v>
      </c>
      <c r="J26" s="440">
        <v>2.0992742851376534E-2</v>
      </c>
      <c r="K26" s="440">
        <v>1.715601421892643E-2</v>
      </c>
      <c r="L26" s="440">
        <v>1.692226342856884E-2</v>
      </c>
      <c r="M26" s="440">
        <v>1.7837507650256157E-2</v>
      </c>
      <c r="N26" s="440">
        <v>1.2860380113124847E-2</v>
      </c>
      <c r="O26" s="440">
        <v>1.7184717580676079E-2</v>
      </c>
      <c r="P26" s="440">
        <v>2.0119708031415939E-2</v>
      </c>
      <c r="Q26" s="440">
        <v>1.9498156383633614E-2</v>
      </c>
      <c r="R26" s="440">
        <v>1.887962780892849E-2</v>
      </c>
      <c r="S26" s="440">
        <v>1.3050936162471771E-2</v>
      </c>
      <c r="T26" s="440">
        <v>1.3015135191380978E-2</v>
      </c>
      <c r="U26" s="440">
        <v>1.1936713941395283E-2</v>
      </c>
      <c r="V26" s="440">
        <v>1.3003423810005188E-2</v>
      </c>
      <c r="W26" s="440">
        <v>1.4518763870000839E-2</v>
      </c>
    </row>
    <row r="27" spans="1:23" s="342" customFormat="1" ht="15.5" x14ac:dyDescent="0.35">
      <c r="A27" s="342" t="s">
        <v>575</v>
      </c>
      <c r="B27" s="440">
        <v>1.8862146884202957E-2</v>
      </c>
      <c r="C27" s="440">
        <v>2.271987684071064E-2</v>
      </c>
      <c r="D27" s="440">
        <v>2.0706932991743088E-2</v>
      </c>
      <c r="E27" s="440">
        <v>1.9225059077143669E-2</v>
      </c>
      <c r="F27" s="440">
        <v>2.0579133182764053E-2</v>
      </c>
      <c r="G27" s="440">
        <v>2.5603810325264931E-2</v>
      </c>
      <c r="H27" s="440">
        <v>2.2063843905925751E-2</v>
      </c>
      <c r="I27" s="440">
        <v>2.8338208794593811E-2</v>
      </c>
      <c r="J27" s="440">
        <v>3.0460599809885025E-2</v>
      </c>
      <c r="K27" s="440">
        <v>2.9014900326728821E-2</v>
      </c>
      <c r="L27" s="440">
        <v>2.1609209477901459E-2</v>
      </c>
      <c r="M27" s="440">
        <v>2.4643657729029655E-2</v>
      </c>
      <c r="N27" s="440">
        <v>1.5913806855678558E-2</v>
      </c>
      <c r="O27" s="440">
        <v>2.019602432847023E-2</v>
      </c>
      <c r="P27" s="440">
        <v>2.4295268580317497E-2</v>
      </c>
      <c r="Q27" s="440">
        <v>3.306443989276886E-2</v>
      </c>
      <c r="R27" s="440">
        <v>3.0166422948241234E-2</v>
      </c>
      <c r="S27" s="440">
        <v>1.3141290284693241E-2</v>
      </c>
      <c r="T27" s="440">
        <v>1.2721899896860123E-2</v>
      </c>
      <c r="U27" s="440">
        <v>1.1953837238252163E-2</v>
      </c>
      <c r="V27" s="440">
        <v>1.6672100871801376E-2</v>
      </c>
      <c r="W27" s="440">
        <v>1.5713537111878395E-2</v>
      </c>
    </row>
    <row r="28" spans="1:23" s="342" customFormat="1" ht="15.5" x14ac:dyDescent="0.35">
      <c r="A28" s="342" t="s">
        <v>823</v>
      </c>
      <c r="B28" s="440">
        <v>0.47067427635192871</v>
      </c>
      <c r="C28" s="440">
        <v>0.43143361806869507</v>
      </c>
      <c r="D28" s="440">
        <v>0.44583117961883545</v>
      </c>
      <c r="E28" s="440">
        <v>0.48574548959732056</v>
      </c>
      <c r="F28" s="440">
        <v>0.45173963904380798</v>
      </c>
      <c r="G28" s="440">
        <v>0.4262542724609375</v>
      </c>
      <c r="H28" s="440">
        <v>0.44826582074165344</v>
      </c>
      <c r="I28" s="440">
        <v>0.43226784467697144</v>
      </c>
      <c r="J28" s="440">
        <v>0.46894717216491699</v>
      </c>
      <c r="K28" s="440">
        <v>0.47025734186172485</v>
      </c>
      <c r="L28" s="440">
        <v>0.49026390910148621</v>
      </c>
      <c r="M28" s="440">
        <v>0.44850844144821167</v>
      </c>
      <c r="N28" s="440">
        <v>0.47378721833229065</v>
      </c>
      <c r="O28" s="440">
        <v>0.45744356513023376</v>
      </c>
      <c r="P28" s="440">
        <v>0.50910800695419312</v>
      </c>
      <c r="Q28" s="440">
        <v>0.45016011595726013</v>
      </c>
      <c r="R28" s="440">
        <v>0.47602802515029907</v>
      </c>
      <c r="S28" s="440">
        <v>0.55358970165252686</v>
      </c>
      <c r="T28" s="440">
        <v>0.51192116737365723</v>
      </c>
      <c r="U28" s="440">
        <v>0.48529583215713501</v>
      </c>
      <c r="V28" s="440">
        <v>0.45615929365158081</v>
      </c>
      <c r="W28" s="440">
        <v>0.47026678919792175</v>
      </c>
    </row>
    <row r="29" spans="1:23" s="342" customFormat="1" ht="15.5" x14ac:dyDescent="0.35">
      <c r="A29" s="342" t="s">
        <v>844</v>
      </c>
      <c r="B29" s="440">
        <v>0.38002589344978333</v>
      </c>
      <c r="C29" s="440">
        <v>0.40280213952064514</v>
      </c>
      <c r="D29" s="440">
        <v>0.39617380499839783</v>
      </c>
      <c r="E29" s="440">
        <v>0.36669573187828064</v>
      </c>
      <c r="F29" s="440">
        <v>0.40320035815238953</v>
      </c>
      <c r="G29" s="440">
        <v>0.38711988925933838</v>
      </c>
      <c r="H29" s="440">
        <v>0.38532707095146179</v>
      </c>
      <c r="I29" s="440">
        <v>0.38641238212585449</v>
      </c>
      <c r="J29" s="440">
        <v>0.37241291999816895</v>
      </c>
      <c r="K29" s="440">
        <v>0.37302997708320618</v>
      </c>
      <c r="L29" s="440">
        <v>0.3760603666305542</v>
      </c>
      <c r="M29" s="440">
        <v>0.41125026345252991</v>
      </c>
      <c r="N29" s="440">
        <v>0.40442436933517456</v>
      </c>
      <c r="O29" s="440">
        <v>0.42940077185630798</v>
      </c>
      <c r="P29" s="440">
        <v>0.39810305833816528</v>
      </c>
      <c r="Q29" s="440">
        <v>0.37969380617141724</v>
      </c>
      <c r="R29" s="440">
        <v>0.37570405006408691</v>
      </c>
      <c r="S29" s="440">
        <v>0.34603509306907654</v>
      </c>
      <c r="T29" s="440">
        <v>0.4210934042930603</v>
      </c>
      <c r="U29" s="440">
        <v>0.39518722891807556</v>
      </c>
      <c r="V29" s="440">
        <v>0.42001262307167053</v>
      </c>
      <c r="W29" s="440">
        <v>0.41149604320526123</v>
      </c>
    </row>
    <row r="30" spans="1:23" s="342" customFormat="1" ht="15.5" x14ac:dyDescent="0.35">
      <c r="A30" s="342" t="s">
        <v>582</v>
      </c>
      <c r="B30" s="440">
        <v>9.8207168579101563</v>
      </c>
      <c r="C30" s="440">
        <v>9.835453987121582</v>
      </c>
      <c r="D30" s="440">
        <v>9.8926410675048828</v>
      </c>
      <c r="E30" s="440">
        <v>9.8422489166259766</v>
      </c>
      <c r="F30" s="440">
        <v>9.8526124954223633</v>
      </c>
      <c r="G30" s="440">
        <v>9.7868547439575195</v>
      </c>
      <c r="H30" s="440">
        <v>9.821044921875</v>
      </c>
      <c r="I30" s="440">
        <v>9.7790985107421875</v>
      </c>
      <c r="J30" s="440">
        <v>9.8119010925292969</v>
      </c>
      <c r="K30" s="440">
        <v>9.7619590759277344</v>
      </c>
      <c r="L30" s="440">
        <v>9.8227691650390625</v>
      </c>
      <c r="M30" s="440">
        <v>9.8724699020385742</v>
      </c>
      <c r="N30" s="440">
        <v>9.9065017700195313</v>
      </c>
      <c r="O30" s="440">
        <v>9.8865165710449219</v>
      </c>
      <c r="P30" s="440">
        <v>9.8813190460205078</v>
      </c>
      <c r="Q30" s="440">
        <v>9.773533821105957</v>
      </c>
      <c r="R30" s="440">
        <v>9.7343435287475586</v>
      </c>
      <c r="S30" s="440">
        <v>9.8565864562988281</v>
      </c>
      <c r="T30" s="440">
        <v>9.9470891952514648</v>
      </c>
      <c r="U30" s="440">
        <v>10.01418399810791</v>
      </c>
      <c r="V30" s="440">
        <v>9.9846735000610352</v>
      </c>
      <c r="W30" s="440">
        <v>10.023215293884277</v>
      </c>
    </row>
    <row r="31" spans="1:23" s="342" customFormat="1" ht="15.5" x14ac:dyDescent="0.35">
      <c r="A31" s="342" t="s">
        <v>576</v>
      </c>
      <c r="B31" s="440">
        <v>4.2230848222970963E-2</v>
      </c>
      <c r="C31" s="440">
        <v>3.6495525389909744E-2</v>
      </c>
      <c r="D31" s="440">
        <v>4.6049404889345169E-2</v>
      </c>
      <c r="E31" s="440">
        <v>5.1527373492717743E-2</v>
      </c>
      <c r="F31" s="440">
        <v>5.6087199598550797E-2</v>
      </c>
      <c r="G31" s="440">
        <v>5.2119925618171692E-2</v>
      </c>
      <c r="H31" s="440">
        <v>4.5086652040481567E-2</v>
      </c>
      <c r="I31" s="440">
        <v>4.4215697795152664E-2</v>
      </c>
      <c r="J31" s="440">
        <v>5.2017942070960999E-2</v>
      </c>
      <c r="K31" s="440">
        <v>5.2261419594287872E-2</v>
      </c>
      <c r="L31" s="440">
        <v>5.2903804928064346E-2</v>
      </c>
      <c r="M31" s="440">
        <v>3.432600200176239E-2</v>
      </c>
      <c r="N31" s="440">
        <v>2.8633605688810349E-2</v>
      </c>
      <c r="O31" s="440">
        <v>3.0807984992861748E-2</v>
      </c>
      <c r="P31" s="440">
        <v>3.9531856775283813E-2</v>
      </c>
      <c r="Q31" s="440">
        <v>4.060426726937294E-2</v>
      </c>
      <c r="R31" s="440">
        <v>4.1691359132528305E-2</v>
      </c>
      <c r="S31" s="440">
        <v>6.6913232207298279E-2</v>
      </c>
      <c r="T31" s="440">
        <v>6.7955397069454193E-2</v>
      </c>
      <c r="U31" s="440">
        <v>4.5484509319067001E-2</v>
      </c>
      <c r="V31" s="440">
        <v>3.6951735615730286E-2</v>
      </c>
      <c r="W31" s="440">
        <v>3.9513219147920609E-2</v>
      </c>
    </row>
    <row r="32" spans="1:23" s="342" customFormat="1" ht="15.5" x14ac:dyDescent="0.35">
      <c r="A32" s="342" t="s">
        <v>388</v>
      </c>
      <c r="B32" s="440">
        <v>483296</v>
      </c>
      <c r="C32" s="440">
        <v>221260</v>
      </c>
      <c r="D32" s="440">
        <v>173227</v>
      </c>
      <c r="E32" s="440">
        <v>521975</v>
      </c>
      <c r="F32" s="440">
        <v>209727</v>
      </c>
      <c r="G32" s="440">
        <v>168803</v>
      </c>
      <c r="H32" s="440">
        <v>130349</v>
      </c>
      <c r="I32" s="440">
        <v>138435</v>
      </c>
      <c r="J32" s="440">
        <v>253278</v>
      </c>
      <c r="K32" s="440">
        <v>167638</v>
      </c>
      <c r="L32" s="440">
        <v>276086</v>
      </c>
      <c r="M32" s="440">
        <v>196440</v>
      </c>
      <c r="N32" s="440">
        <v>177833</v>
      </c>
      <c r="O32" s="440">
        <v>69073</v>
      </c>
      <c r="P32" s="440">
        <v>415513</v>
      </c>
      <c r="Q32" s="440">
        <v>74007</v>
      </c>
      <c r="R32" s="440">
        <v>180565</v>
      </c>
      <c r="S32" s="440">
        <v>652980</v>
      </c>
      <c r="T32" s="440">
        <v>265998</v>
      </c>
      <c r="U32" s="440">
        <v>467214</v>
      </c>
      <c r="V32" s="440">
        <v>98128</v>
      </c>
      <c r="W32" s="440">
        <v>198364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A35"/>
  <sheetViews>
    <sheetView zoomScale="70" zoomScaleNormal="70" workbookViewId="0"/>
  </sheetViews>
  <sheetFormatPr defaultColWidth="8.6640625" defaultRowHeight="15.5" x14ac:dyDescent="0.35"/>
  <cols>
    <col min="1" max="1" width="21.9140625" style="342" customWidth="1"/>
    <col min="2" max="2" width="15.1640625" style="342" customWidth="1"/>
    <col min="3" max="3" width="12.4140625" style="342" customWidth="1"/>
    <col min="4" max="4" width="22.6640625" style="342" customWidth="1"/>
    <col min="5" max="5" width="22.5" style="342" customWidth="1"/>
    <col min="6" max="6" width="23.1640625" style="342" customWidth="1"/>
    <col min="7" max="7" width="28" style="342" customWidth="1"/>
    <col min="8" max="8" width="27.58203125" style="342" customWidth="1"/>
    <col min="9" max="9" width="28.33203125" style="342" customWidth="1"/>
    <col min="10" max="10" width="12.5" style="342" customWidth="1"/>
    <col min="11" max="11" width="38.1640625" style="342" customWidth="1"/>
    <col min="12" max="12" width="40" style="342" customWidth="1"/>
    <col min="13" max="13" width="37.5" style="342" customWidth="1"/>
    <col min="14" max="14" width="13.4140625" style="342" customWidth="1"/>
    <col min="15" max="15" width="33.58203125" style="342" customWidth="1"/>
    <col min="16" max="16" width="44" style="342" customWidth="1"/>
    <col min="17" max="17" width="39.1640625" style="342" customWidth="1"/>
    <col min="18" max="18" width="32.83203125" style="342" customWidth="1"/>
    <col min="19" max="24" width="8.6640625" style="342"/>
    <col min="25" max="25" width="8.6640625" style="342" bestFit="1" customWidth="1"/>
    <col min="26" max="27" width="9.1640625" style="342" bestFit="1" customWidth="1"/>
    <col min="28" max="16384" width="8.6640625" style="342"/>
  </cols>
  <sheetData>
    <row r="1" spans="1:27" ht="18" x14ac:dyDescent="0.4">
      <c r="A1" s="406" t="s">
        <v>643</v>
      </c>
    </row>
    <row r="2" spans="1:27" ht="31" x14ac:dyDescent="0.35">
      <c r="A2" s="321" t="s">
        <v>22</v>
      </c>
      <c r="B2" s="321" t="s">
        <v>34</v>
      </c>
      <c r="C2" s="321" t="s">
        <v>388</v>
      </c>
      <c r="D2" s="407" t="s">
        <v>644</v>
      </c>
      <c r="E2" s="407" t="s">
        <v>645</v>
      </c>
      <c r="F2" s="407" t="s">
        <v>646</v>
      </c>
      <c r="G2" s="407" t="s">
        <v>647</v>
      </c>
      <c r="H2" s="407" t="s">
        <v>648</v>
      </c>
      <c r="I2" s="407" t="s">
        <v>649</v>
      </c>
      <c r="J2" s="407" t="s">
        <v>383</v>
      </c>
      <c r="K2" s="407" t="s">
        <v>650</v>
      </c>
      <c r="L2" s="407" t="s">
        <v>651</v>
      </c>
      <c r="M2" s="407" t="s">
        <v>652</v>
      </c>
      <c r="N2" s="407" t="s">
        <v>788</v>
      </c>
      <c r="O2" s="407" t="s">
        <v>653</v>
      </c>
      <c r="P2" s="407" t="s">
        <v>654</v>
      </c>
      <c r="Q2" s="407" t="s">
        <v>655</v>
      </c>
      <c r="R2" s="407" t="s">
        <v>656</v>
      </c>
      <c r="S2" s="394"/>
    </row>
    <row r="3" spans="1:27" x14ac:dyDescent="0.35">
      <c r="A3" s="395">
        <v>31</v>
      </c>
      <c r="B3" s="292" t="s">
        <v>37</v>
      </c>
      <c r="C3" s="304">
        <f>Bestämningsfaktorer!C4</f>
        <v>648042</v>
      </c>
      <c r="D3" s="396">
        <v>0.59158944162429206</v>
      </c>
      <c r="E3" s="396">
        <v>0.19781198998068586</v>
      </c>
      <c r="F3" s="396">
        <v>0.21059856839502203</v>
      </c>
      <c r="G3" s="397">
        <v>0.89225920000000003</v>
      </c>
      <c r="H3" s="397">
        <v>0.72243950000000001</v>
      </c>
      <c r="I3" s="397">
        <v>0.81189160000000005</v>
      </c>
      <c r="J3" s="397">
        <f>G3*D3+H3*E3+I3*F3</f>
        <v>0.84174152569973315</v>
      </c>
      <c r="K3" s="397">
        <f t="shared" ref="K3:K24" si="0">G3*($C3/$C$25)</f>
        <v>0.10535855318412647</v>
      </c>
      <c r="L3" s="397">
        <f t="shared" ref="L3:L24" si="1">H3*($C3/$C$25)</f>
        <v>8.5306131315949149E-2</v>
      </c>
      <c r="M3" s="397">
        <f t="shared" ref="M3:M24" si="2">I3*($C3/$C$25)</f>
        <v>9.5868694117522732E-2</v>
      </c>
      <c r="N3" s="397">
        <f t="shared" ref="N3:N24" si="3">C3/$C$25*J3</f>
        <v>9.9393392976752815E-2</v>
      </c>
      <c r="O3" s="398">
        <f>G3/$K$25</f>
        <v>0.89241220364033047</v>
      </c>
      <c r="P3" s="398">
        <f>H3/$L$25</f>
        <v>0.72284890139480551</v>
      </c>
      <c r="Q3" s="398">
        <f>I3/$M$25</f>
        <v>0.81213837755530593</v>
      </c>
      <c r="R3" s="398">
        <f t="shared" ref="R3:R25" si="4">J3/$N$25</f>
        <v>0.84197513649170741</v>
      </c>
      <c r="S3" s="394"/>
      <c r="Y3" s="399"/>
      <c r="Z3" s="399"/>
      <c r="AA3" s="399"/>
    </row>
    <row r="4" spans="1:27" x14ac:dyDescent="0.35">
      <c r="A4" s="395">
        <v>32</v>
      </c>
      <c r="B4" s="292" t="s">
        <v>39</v>
      </c>
      <c r="C4" s="304">
        <f>Bestämningsfaktorer!C5</f>
        <v>264420</v>
      </c>
      <c r="D4" s="396">
        <v>0.59158944162429206</v>
      </c>
      <c r="E4" s="396">
        <v>0.19781198998068586</v>
      </c>
      <c r="F4" s="396">
        <v>0.21059856839502203</v>
      </c>
      <c r="G4" s="397">
        <v>0.89339489999999999</v>
      </c>
      <c r="H4" s="397">
        <v>0.49579499999999999</v>
      </c>
      <c r="I4" s="397">
        <v>0.81897399999999998</v>
      </c>
      <c r="J4" s="397">
        <f t="shared" ref="J4:J24" si="5">G4*D4+H4*E4+I4*F4</f>
        <v>0.79907193756620909</v>
      </c>
      <c r="K4" s="397">
        <f t="shared" si="0"/>
        <v>4.3044075023368614E-2</v>
      </c>
      <c r="L4" s="397">
        <f t="shared" si="1"/>
        <v>2.38875744379233E-2</v>
      </c>
      <c r="M4" s="397">
        <f t="shared" si="2"/>
        <v>3.9458450342830798E-2</v>
      </c>
      <c r="N4" s="397">
        <f t="shared" si="3"/>
        <v>3.8499562096972376E-2</v>
      </c>
      <c r="O4" s="398">
        <f t="shared" ref="O4:O24" si="6">G4/$K$25</f>
        <v>0.89354809838893523</v>
      </c>
      <c r="P4" s="398">
        <f t="shared" ref="P4:P24" si="7">H4/$L$25</f>
        <v>0.49607596354717259</v>
      </c>
      <c r="Q4" s="398">
        <f t="shared" ref="Q4:Q24" si="8">I4/$M$25</f>
        <v>0.81922293027785864</v>
      </c>
      <c r="R4" s="398">
        <f t="shared" si="4"/>
        <v>0.79929370615250295</v>
      </c>
      <c r="S4" s="394"/>
      <c r="Y4" s="399"/>
      <c r="Z4" s="399"/>
      <c r="AA4" s="399"/>
    </row>
    <row r="5" spans="1:27" x14ac:dyDescent="0.35">
      <c r="A5" s="395">
        <v>33</v>
      </c>
      <c r="B5" s="292" t="s">
        <v>41</v>
      </c>
      <c r="C5" s="304">
        <f>Bestämningsfaktorer!C6</f>
        <v>464302</v>
      </c>
      <c r="D5" s="396">
        <v>0.59158944162429206</v>
      </c>
      <c r="E5" s="396">
        <v>0.19781198998068586</v>
      </c>
      <c r="F5" s="396">
        <v>0.21059856839502203</v>
      </c>
      <c r="G5" s="397">
        <v>0.8644693</v>
      </c>
      <c r="H5" s="397">
        <v>0.56891250000000004</v>
      </c>
      <c r="I5" s="397">
        <v>0.7333035</v>
      </c>
      <c r="J5" s="397">
        <f t="shared" si="5"/>
        <v>0.77838129153728863</v>
      </c>
      <c r="K5" s="397">
        <f t="shared" si="0"/>
        <v>7.3135079695378927E-2</v>
      </c>
      <c r="L5" s="397">
        <f t="shared" si="1"/>
        <v>4.813064041394792E-2</v>
      </c>
      <c r="M5" s="397">
        <f t="shared" si="2"/>
        <v>6.203830478815188E-2</v>
      </c>
      <c r="N5" s="397">
        <f t="shared" si="3"/>
        <v>6.5851936893504007E-2</v>
      </c>
      <c r="O5" s="398">
        <f t="shared" si="6"/>
        <v>0.86461753825840504</v>
      </c>
      <c r="P5" s="398">
        <f t="shared" si="7"/>
        <v>0.56923489872130795</v>
      </c>
      <c r="Q5" s="398">
        <f t="shared" si="8"/>
        <v>0.73352639040190493</v>
      </c>
      <c r="R5" s="398">
        <f t="shared" si="4"/>
        <v>0.77859731779288155</v>
      </c>
      <c r="S5" s="394"/>
      <c r="Y5" s="399"/>
      <c r="Z5" s="399"/>
      <c r="AA5" s="399"/>
    </row>
    <row r="6" spans="1:27" x14ac:dyDescent="0.35">
      <c r="A6" s="395">
        <v>34</v>
      </c>
      <c r="B6" s="292" t="s">
        <v>43</v>
      </c>
      <c r="C6" s="304">
        <f>Bestämningsfaktorer!C7</f>
        <v>97263</v>
      </c>
      <c r="D6" s="396">
        <v>0.59158944162429206</v>
      </c>
      <c r="E6" s="396">
        <v>0.19781198998068586</v>
      </c>
      <c r="F6" s="396">
        <v>0.21059856839502203</v>
      </c>
      <c r="G6" s="397">
        <v>0.97267499999999996</v>
      </c>
      <c r="H6" s="397">
        <v>0.87846900000000006</v>
      </c>
      <c r="I6" s="397">
        <v>0.83844569999999996</v>
      </c>
      <c r="J6" s="397">
        <f t="shared" si="5"/>
        <v>0.92577142525521361</v>
      </c>
      <c r="K6" s="397">
        <f t="shared" si="0"/>
        <v>1.7238164643512452E-2</v>
      </c>
      <c r="L6" s="397">
        <f t="shared" si="1"/>
        <v>1.5568605398742377E-2</v>
      </c>
      <c r="M6" s="397">
        <f t="shared" si="2"/>
        <v>1.4859295264343226E-2</v>
      </c>
      <c r="N6" s="397">
        <f t="shared" si="3"/>
        <v>1.640691932126204E-2</v>
      </c>
      <c r="O6" s="398">
        <f t="shared" si="6"/>
        <v>0.97284179325453679</v>
      </c>
      <c r="P6" s="398">
        <f t="shared" si="7"/>
        <v>0.87896682221749145</v>
      </c>
      <c r="Q6" s="398">
        <f t="shared" si="8"/>
        <v>0.83870054877550482</v>
      </c>
      <c r="R6" s="398">
        <f t="shared" si="4"/>
        <v>0.92602835709145781</v>
      </c>
      <c r="S6" s="394"/>
      <c r="Y6" s="399"/>
      <c r="Z6" s="399"/>
      <c r="AA6" s="399"/>
    </row>
    <row r="7" spans="1:27" x14ac:dyDescent="0.35">
      <c r="A7" s="400">
        <v>35</v>
      </c>
      <c r="B7" s="301" t="s">
        <v>45</v>
      </c>
      <c r="C7" s="304">
        <f>Bestämningsfaktorer!C8</f>
        <v>196997</v>
      </c>
      <c r="D7" s="401">
        <v>0.59158944162429206</v>
      </c>
      <c r="E7" s="401">
        <v>0.19781198998068586</v>
      </c>
      <c r="F7" s="401">
        <v>0.21059856839502203</v>
      </c>
      <c r="G7" s="402">
        <v>0.93286659999999999</v>
      </c>
      <c r="H7" s="402">
        <v>0.69256450000000003</v>
      </c>
      <c r="I7" s="402">
        <v>0.8355861</v>
      </c>
      <c r="J7" s="402">
        <f t="shared" si="5"/>
        <v>0.86484482936971019</v>
      </c>
      <c r="K7" s="397">
        <f t="shared" si="0"/>
        <v>3.3485344115427293E-2</v>
      </c>
      <c r="L7" s="397">
        <f t="shared" si="1"/>
        <v>2.4859675118209665E-2</v>
      </c>
      <c r="M7" s="397">
        <f t="shared" si="2"/>
        <v>2.9993450399626104E-2</v>
      </c>
      <c r="N7" s="397">
        <f t="shared" si="3"/>
        <v>3.1043695548637659E-2</v>
      </c>
      <c r="O7" s="398">
        <f t="shared" si="6"/>
        <v>0.93302656695326058</v>
      </c>
      <c r="P7" s="398">
        <f t="shared" si="7"/>
        <v>0.69295697144195856</v>
      </c>
      <c r="Q7" s="398">
        <f t="shared" si="8"/>
        <v>0.83584007958915396</v>
      </c>
      <c r="R7" s="398">
        <f t="shared" si="4"/>
        <v>0.86508485208375641</v>
      </c>
      <c r="S7" s="394"/>
      <c r="Y7" s="399"/>
      <c r="Z7" s="399"/>
      <c r="AA7" s="399"/>
    </row>
    <row r="8" spans="1:27" x14ac:dyDescent="0.35">
      <c r="A8" s="326">
        <v>2</v>
      </c>
      <c r="B8" s="326" t="s">
        <v>47</v>
      </c>
      <c r="C8" s="304">
        <f>Bestämningsfaktorer!C9</f>
        <v>478582</v>
      </c>
      <c r="D8" s="396">
        <v>0.59158944162429206</v>
      </c>
      <c r="E8" s="396">
        <v>0.19781198998068586</v>
      </c>
      <c r="F8" s="396">
        <v>0.21059856839502203</v>
      </c>
      <c r="G8" s="403">
        <v>1.023782</v>
      </c>
      <c r="H8" s="403">
        <v>1.1040380000000001</v>
      </c>
      <c r="I8" s="403">
        <v>1.005002</v>
      </c>
      <c r="J8" s="397">
        <f t="shared" si="5"/>
        <v>1.0357025579534314</v>
      </c>
      <c r="K8" s="397">
        <f t="shared" si="0"/>
        <v>8.9276973600115161E-2</v>
      </c>
      <c r="L8" s="397">
        <f t="shared" si="1"/>
        <v>9.6275546336548168E-2</v>
      </c>
      <c r="M8" s="397">
        <f t="shared" si="2"/>
        <v>8.7639299208291346E-2</v>
      </c>
      <c r="N8" s="397">
        <f t="shared" si="3"/>
        <v>9.0316483317718257E-2</v>
      </c>
      <c r="O8" s="398">
        <f t="shared" si="6"/>
        <v>1.0239575570274924</v>
      </c>
      <c r="P8" s="398">
        <f t="shared" si="7"/>
        <v>1.1046636505868219</v>
      </c>
      <c r="Q8" s="398">
        <f t="shared" si="8"/>
        <v>1.0053074741995576</v>
      </c>
      <c r="R8" s="398">
        <f t="shared" si="4"/>
        <v>1.0359899992729174</v>
      </c>
      <c r="S8" s="394"/>
      <c r="Y8" s="399"/>
      <c r="Z8" s="399"/>
      <c r="AA8" s="399"/>
    </row>
    <row r="9" spans="1:27" x14ac:dyDescent="0.35">
      <c r="A9" s="326">
        <v>4</v>
      </c>
      <c r="B9" s="326" t="s">
        <v>49</v>
      </c>
      <c r="C9" s="304">
        <f>Bestämningsfaktorer!C10</f>
        <v>218624</v>
      </c>
      <c r="D9" s="396">
        <v>0.59158944162429206</v>
      </c>
      <c r="E9" s="396">
        <v>0.19781198998068586</v>
      </c>
      <c r="F9" s="396">
        <v>0.21059856839502203</v>
      </c>
      <c r="G9" s="403">
        <v>1.0504199999999999</v>
      </c>
      <c r="H9" s="403">
        <v>1.254999</v>
      </c>
      <c r="I9" s="403">
        <v>1.1125389999999999</v>
      </c>
      <c r="J9" s="397">
        <f t="shared" si="5"/>
        <v>1.103970351568389</v>
      </c>
      <c r="K9" s="397">
        <f t="shared" si="0"/>
        <v>4.1844311647136638E-2</v>
      </c>
      <c r="L9" s="397">
        <f t="shared" si="1"/>
        <v>4.9993877946768753E-2</v>
      </c>
      <c r="M9" s="397">
        <f t="shared" si="2"/>
        <v>4.431887115210463E-2</v>
      </c>
      <c r="N9" s="397">
        <f t="shared" si="3"/>
        <v>4.397753226350095E-2</v>
      </c>
      <c r="O9" s="398">
        <f t="shared" si="6"/>
        <v>1.0506001248828545</v>
      </c>
      <c r="P9" s="398">
        <f t="shared" si="7"/>
        <v>1.2557101991261268</v>
      </c>
      <c r="Q9" s="398">
        <f t="shared" si="8"/>
        <v>1.1128771604817718</v>
      </c>
      <c r="R9" s="398">
        <f t="shared" si="4"/>
        <v>1.1042767394324444</v>
      </c>
      <c r="S9" s="394"/>
      <c r="Y9" s="399"/>
      <c r="Z9" s="399"/>
      <c r="AA9" s="399"/>
    </row>
    <row r="10" spans="1:27" x14ac:dyDescent="0.35">
      <c r="A10" s="326">
        <v>5</v>
      </c>
      <c r="B10" s="326" t="s">
        <v>51</v>
      </c>
      <c r="C10" s="304">
        <f>Bestämningsfaktorer!C11</f>
        <v>171364</v>
      </c>
      <c r="D10" s="396">
        <v>0.59158944162429206</v>
      </c>
      <c r="E10" s="396">
        <v>0.19781198998068586</v>
      </c>
      <c r="F10" s="396">
        <v>0.21059856839502203</v>
      </c>
      <c r="G10" s="403">
        <v>1.0624400000000001</v>
      </c>
      <c r="H10" s="403">
        <v>1.108204</v>
      </c>
      <c r="I10" s="403">
        <v>1.0147980000000001</v>
      </c>
      <c r="J10" s="397">
        <f t="shared" si="5"/>
        <v>1.0614593309140004</v>
      </c>
      <c r="K10" s="397">
        <f t="shared" si="0"/>
        <v>3.3174135481484589E-2</v>
      </c>
      <c r="L10" s="397">
        <f t="shared" si="1"/>
        <v>3.4603092538988689E-2</v>
      </c>
      <c r="M10" s="397">
        <f t="shared" si="2"/>
        <v>3.1686538852395987E-2</v>
      </c>
      <c r="N10" s="397">
        <f t="shared" si="3"/>
        <v>3.3143514600191097E-2</v>
      </c>
      <c r="O10" s="398">
        <f t="shared" si="6"/>
        <v>1.0626221860594238</v>
      </c>
      <c r="P10" s="398">
        <f t="shared" si="7"/>
        <v>1.1088320114297863</v>
      </c>
      <c r="Q10" s="398">
        <f t="shared" si="8"/>
        <v>1.0151064517312032</v>
      </c>
      <c r="R10" s="398">
        <f t="shared" si="4"/>
        <v>1.0617539205800348</v>
      </c>
      <c r="S10" s="394"/>
      <c r="Y10" s="399"/>
      <c r="Z10" s="399"/>
      <c r="AA10" s="399"/>
    </row>
    <row r="11" spans="1:27" x14ac:dyDescent="0.35">
      <c r="A11" s="326">
        <v>6</v>
      </c>
      <c r="B11" s="326" t="s">
        <v>53</v>
      </c>
      <c r="C11" s="304">
        <f>Bestämningsfaktorer!C12</f>
        <v>517333</v>
      </c>
      <c r="D11" s="396">
        <v>0.59158944162429206</v>
      </c>
      <c r="E11" s="396">
        <v>0.19781198998068586</v>
      </c>
      <c r="F11" s="396">
        <v>0.21059856839502203</v>
      </c>
      <c r="G11" s="403">
        <v>1.006437</v>
      </c>
      <c r="H11" s="403">
        <v>1.0269919999999999</v>
      </c>
      <c r="I11" s="403">
        <v>0.9634395</v>
      </c>
      <c r="J11" s="397">
        <f t="shared" si="5"/>
        <v>1.001447813509488</v>
      </c>
      <c r="K11" s="397">
        <f t="shared" si="0"/>
        <v>9.4870761538265305E-2</v>
      </c>
      <c r="L11" s="397">
        <f t="shared" si="1"/>
        <v>9.6808357734966183E-2</v>
      </c>
      <c r="M11" s="397">
        <f t="shared" si="2"/>
        <v>9.0817645874551073E-2</v>
      </c>
      <c r="N11" s="397">
        <f t="shared" si="3"/>
        <v>9.440046094139605E-2</v>
      </c>
      <c r="O11" s="398">
        <f t="shared" si="6"/>
        <v>1.006609582725696</v>
      </c>
      <c r="P11" s="398">
        <f t="shared" si="7"/>
        <v>1.0275739891593054</v>
      </c>
      <c r="Q11" s="398">
        <f t="shared" si="8"/>
        <v>0.96373234111880834</v>
      </c>
      <c r="R11" s="398">
        <f t="shared" si="4"/>
        <v>1.0017257480175192</v>
      </c>
      <c r="S11" s="394"/>
      <c r="Y11" s="399"/>
      <c r="Z11" s="399"/>
      <c r="AA11" s="399"/>
    </row>
    <row r="12" spans="1:27" x14ac:dyDescent="0.35">
      <c r="A12" s="326">
        <v>7</v>
      </c>
      <c r="B12" s="326" t="s">
        <v>55</v>
      </c>
      <c r="C12" s="304">
        <f>Bestämningsfaktorer!C13</f>
        <v>207394</v>
      </c>
      <c r="D12" s="396">
        <v>0.59158944162429206</v>
      </c>
      <c r="E12" s="396">
        <v>0.19781198998068586</v>
      </c>
      <c r="F12" s="396">
        <v>0.21059856839502203</v>
      </c>
      <c r="G12" s="403">
        <v>1.077779</v>
      </c>
      <c r="H12" s="403">
        <v>1.158892</v>
      </c>
      <c r="I12" s="403">
        <v>1.0596859999999999</v>
      </c>
      <c r="J12" s="397">
        <f t="shared" si="5"/>
        <v>1.0900137640453322</v>
      </c>
      <c r="K12" s="397">
        <f t="shared" si="0"/>
        <v>4.0728790667495129E-2</v>
      </c>
      <c r="L12" s="397">
        <f t="shared" si="1"/>
        <v>4.3794014982881241E-2</v>
      </c>
      <c r="M12" s="397">
        <f t="shared" si="2"/>
        <v>4.004506421750214E-2</v>
      </c>
      <c r="N12" s="397">
        <f t="shared" si="3"/>
        <v>4.1191136977516501E-2</v>
      </c>
      <c r="O12" s="398">
        <f t="shared" si="6"/>
        <v>1.0779638163745151</v>
      </c>
      <c r="P12" s="398">
        <f t="shared" si="7"/>
        <v>1.1595487359636745</v>
      </c>
      <c r="Q12" s="398">
        <f t="shared" si="8"/>
        <v>1.060008095610389</v>
      </c>
      <c r="R12" s="398">
        <f t="shared" si="4"/>
        <v>1.0903162785000751</v>
      </c>
      <c r="S12" s="394"/>
      <c r="Y12" s="399"/>
      <c r="Z12" s="399"/>
      <c r="AA12" s="399"/>
    </row>
    <row r="13" spans="1:27" x14ac:dyDescent="0.35">
      <c r="A13" s="326">
        <v>8</v>
      </c>
      <c r="B13" s="326" t="s">
        <v>57</v>
      </c>
      <c r="C13" s="304">
        <f>Bestämningsfaktorer!C14</f>
        <v>166623</v>
      </c>
      <c r="D13" s="396">
        <v>0.59158944162429206</v>
      </c>
      <c r="E13" s="396">
        <v>0.19781198998068586</v>
      </c>
      <c r="F13" s="396">
        <v>0.21059856839502203</v>
      </c>
      <c r="G13" s="403">
        <v>1.09423</v>
      </c>
      <c r="H13" s="403">
        <v>1.4440029999999999</v>
      </c>
      <c r="I13" s="403">
        <v>1.1316980000000001</v>
      </c>
      <c r="J13" s="397">
        <f t="shared" si="5"/>
        <v>1.1713100003321391</v>
      </c>
      <c r="K13" s="397">
        <f t="shared" si="0"/>
        <v>3.3221495352697548E-2</v>
      </c>
      <c r="L13" s="397">
        <f t="shared" si="1"/>
        <v>4.3840818615630453E-2</v>
      </c>
      <c r="M13" s="397">
        <f t="shared" si="2"/>
        <v>3.4359046861863696E-2</v>
      </c>
      <c r="N13" s="397">
        <f t="shared" si="3"/>
        <v>3.5561691538892479E-2</v>
      </c>
      <c r="O13" s="398">
        <f t="shared" si="6"/>
        <v>1.0944176373741608</v>
      </c>
      <c r="P13" s="398">
        <f t="shared" si="7"/>
        <v>1.4448213063665585</v>
      </c>
      <c r="Q13" s="398">
        <f t="shared" si="8"/>
        <v>1.1320419839330578</v>
      </c>
      <c r="R13" s="398">
        <f t="shared" si="4"/>
        <v>1.1716350771502246</v>
      </c>
      <c r="S13" s="394"/>
      <c r="Y13" s="399"/>
      <c r="Z13" s="399"/>
      <c r="AA13" s="399"/>
    </row>
    <row r="14" spans="1:27" x14ac:dyDescent="0.35">
      <c r="A14" s="326">
        <v>9</v>
      </c>
      <c r="B14" s="326" t="s">
        <v>59</v>
      </c>
      <c r="C14" s="304">
        <f>Bestämningsfaktorer!C15</f>
        <v>128756</v>
      </c>
      <c r="D14" s="396">
        <v>0.59158944162429206</v>
      </c>
      <c r="E14" s="396">
        <v>0.19781198998068586</v>
      </c>
      <c r="F14" s="396">
        <v>0.21059856839502203</v>
      </c>
      <c r="G14" s="403">
        <v>1.061131</v>
      </c>
      <c r="H14" s="403">
        <v>1.2808470000000001</v>
      </c>
      <c r="I14" s="403">
        <v>1.0558259999999999</v>
      </c>
      <c r="J14" s="397">
        <f t="shared" si="5"/>
        <v>1.1034762337852608</v>
      </c>
      <c r="K14" s="397">
        <f t="shared" si="0"/>
        <v>2.489499757403706E-2</v>
      </c>
      <c r="L14" s="397">
        <f t="shared" si="1"/>
        <v>3.0049713897447764E-2</v>
      </c>
      <c r="M14" s="397">
        <f t="shared" si="2"/>
        <v>2.4770537953000382E-2</v>
      </c>
      <c r="N14" s="397">
        <f t="shared" si="3"/>
        <v>2.5888451249743545E-2</v>
      </c>
      <c r="O14" s="398">
        <f t="shared" si="6"/>
        <v>1.0613129615935231</v>
      </c>
      <c r="P14" s="398">
        <f t="shared" si="7"/>
        <v>1.2815728470063341</v>
      </c>
      <c r="Q14" s="398">
        <f t="shared" si="8"/>
        <v>1.0561469223486342</v>
      </c>
      <c r="R14" s="398">
        <f t="shared" si="4"/>
        <v>1.1037824845154776</v>
      </c>
      <c r="S14" s="394"/>
      <c r="Y14" s="399"/>
      <c r="Z14" s="399"/>
      <c r="AA14" s="399"/>
    </row>
    <row r="15" spans="1:27" x14ac:dyDescent="0.35">
      <c r="A15" s="326">
        <v>10</v>
      </c>
      <c r="B15" s="326" t="s">
        <v>61</v>
      </c>
      <c r="C15" s="304">
        <f>Bestämningsfaktorer!C16</f>
        <v>136474</v>
      </c>
      <c r="D15" s="396">
        <v>0.59158944162429206</v>
      </c>
      <c r="E15" s="396">
        <v>0.19781198998068586</v>
      </c>
      <c r="F15" s="396">
        <v>0.21059856839502203</v>
      </c>
      <c r="G15" s="403">
        <v>1.163643</v>
      </c>
      <c r="H15" s="403">
        <v>1.494146</v>
      </c>
      <c r="I15" s="403">
        <v>1.2674989999999999</v>
      </c>
      <c r="J15" s="397">
        <f t="shared" si="5"/>
        <v>1.2508923810438199</v>
      </c>
      <c r="K15" s="397">
        <f t="shared" si="0"/>
        <v>2.8936452813982175E-2</v>
      </c>
      <c r="L15" s="397">
        <f t="shared" si="1"/>
        <v>3.7155111341021438E-2</v>
      </c>
      <c r="M15" s="397">
        <f t="shared" si="2"/>
        <v>3.1519052669306304E-2</v>
      </c>
      <c r="N15" s="397">
        <f t="shared" si="3"/>
        <v>3.1106093844455996E-2</v>
      </c>
      <c r="O15" s="398">
        <f t="shared" si="6"/>
        <v>1.1638425402401511</v>
      </c>
      <c r="P15" s="398">
        <f t="shared" si="7"/>
        <v>1.4949927220527712</v>
      </c>
      <c r="Q15" s="398">
        <f t="shared" si="8"/>
        <v>1.2678842611661121</v>
      </c>
      <c r="R15" s="398">
        <f t="shared" si="4"/>
        <v>1.2512395445742959</v>
      </c>
      <c r="S15" s="394"/>
      <c r="Y15" s="399"/>
      <c r="Z15" s="399"/>
      <c r="AA15" s="399"/>
    </row>
    <row r="16" spans="1:27" x14ac:dyDescent="0.35">
      <c r="A16" s="326">
        <v>11</v>
      </c>
      <c r="B16" s="326" t="s">
        <v>63</v>
      </c>
      <c r="C16" s="304">
        <f>Bestämningsfaktorer!C17</f>
        <v>250414</v>
      </c>
      <c r="D16" s="396">
        <v>0.59158944162429206</v>
      </c>
      <c r="E16" s="396">
        <v>0.19781198998068586</v>
      </c>
      <c r="F16" s="396">
        <v>0.21059856839502203</v>
      </c>
      <c r="G16" s="403">
        <v>1.111502</v>
      </c>
      <c r="H16" s="403">
        <v>1.2395799999999999</v>
      </c>
      <c r="I16" s="403">
        <v>1.2253069999999999</v>
      </c>
      <c r="J16" s="397">
        <f t="shared" si="5"/>
        <v>1.1608045341289417</v>
      </c>
      <c r="K16" s="397">
        <f t="shared" si="0"/>
        <v>5.07159381844089E-2</v>
      </c>
      <c r="L16" s="397">
        <f t="shared" si="1"/>
        <v>5.6559918609799691E-2</v>
      </c>
      <c r="M16" s="397">
        <f t="shared" si="2"/>
        <v>5.5908665993334702E-2</v>
      </c>
      <c r="N16" s="397">
        <f t="shared" si="3"/>
        <v>5.2965528624388421E-2</v>
      </c>
      <c r="O16" s="398">
        <f t="shared" si="6"/>
        <v>1.1116925991579965</v>
      </c>
      <c r="P16" s="398">
        <f t="shared" si="7"/>
        <v>1.2402824612870322</v>
      </c>
      <c r="Q16" s="398">
        <f t="shared" si="8"/>
        <v>1.2256794367464316</v>
      </c>
      <c r="R16" s="398">
        <f t="shared" si="4"/>
        <v>1.1611266953367065</v>
      </c>
      <c r="S16" s="394"/>
      <c r="Y16" s="399"/>
      <c r="Z16" s="399"/>
      <c r="AA16" s="399"/>
    </row>
    <row r="17" spans="1:27" x14ac:dyDescent="0.35">
      <c r="A17" s="326">
        <v>12</v>
      </c>
      <c r="B17" s="326" t="s">
        <v>65</v>
      </c>
      <c r="C17" s="304">
        <f>Bestämningsfaktorer!C18</f>
        <v>165569</v>
      </c>
      <c r="D17" s="396">
        <v>0.59158944162429206</v>
      </c>
      <c r="E17" s="396">
        <v>0.19781198998068586</v>
      </c>
      <c r="F17" s="396">
        <v>0.21059856839502203</v>
      </c>
      <c r="G17" s="403">
        <v>1.1299729999999999</v>
      </c>
      <c r="H17" s="403">
        <v>1.3052809999999999</v>
      </c>
      <c r="I17" s="403">
        <v>1.305067</v>
      </c>
      <c r="J17" s="397">
        <f t="shared" si="5"/>
        <v>1.2015255700740919</v>
      </c>
      <c r="K17" s="397">
        <f t="shared" si="0"/>
        <v>3.408966253295749E-2</v>
      </c>
      <c r="L17" s="397">
        <f t="shared" si="1"/>
        <v>3.9378453114084395E-2</v>
      </c>
      <c r="M17" s="397">
        <f t="shared" si="2"/>
        <v>3.9371997041433057E-2</v>
      </c>
      <c r="N17" s="397">
        <f t="shared" si="3"/>
        <v>3.624830080766988E-2</v>
      </c>
      <c r="O17" s="398">
        <f t="shared" si="6"/>
        <v>1.1301667665450521</v>
      </c>
      <c r="P17" s="398">
        <f t="shared" si="7"/>
        <v>1.3060206935826641</v>
      </c>
      <c r="Q17" s="398">
        <f t="shared" si="8"/>
        <v>1.3054636801033173</v>
      </c>
      <c r="R17" s="398">
        <f t="shared" si="4"/>
        <v>1.2018590327006018</v>
      </c>
      <c r="S17" s="394"/>
      <c r="Y17" s="399"/>
      <c r="Z17" s="399"/>
      <c r="AA17" s="399"/>
    </row>
    <row r="18" spans="1:27" x14ac:dyDescent="0.35">
      <c r="A18" s="326">
        <v>13</v>
      </c>
      <c r="B18" s="326" t="s">
        <v>67</v>
      </c>
      <c r="C18" s="304">
        <f>Bestämningsfaktorer!C19</f>
        <v>273283</v>
      </c>
      <c r="D18" s="396">
        <v>0.59158944162429206</v>
      </c>
      <c r="E18" s="396">
        <v>0.19781198998068586</v>
      </c>
      <c r="F18" s="396">
        <v>0.21059856839502203</v>
      </c>
      <c r="G18" s="403">
        <v>1.026052</v>
      </c>
      <c r="H18" s="403">
        <v>1.0815779999999999</v>
      </c>
      <c r="I18" s="403">
        <v>1.067261</v>
      </c>
      <c r="J18" s="397">
        <f t="shared" si="5"/>
        <v>1.0457142649606579</v>
      </c>
      <c r="K18" s="397">
        <f t="shared" si="0"/>
        <v>5.1092552238376276E-2</v>
      </c>
      <c r="L18" s="397">
        <f t="shared" si="1"/>
        <v>5.3857485258913318E-2</v>
      </c>
      <c r="M18" s="397">
        <f t="shared" si="2"/>
        <v>5.3144566156960567E-2</v>
      </c>
      <c r="N18" s="397">
        <f t="shared" si="3"/>
        <v>5.2071640334912524E-2</v>
      </c>
      <c r="O18" s="398">
        <f t="shared" si="6"/>
        <v>1.0262279462846315</v>
      </c>
      <c r="P18" s="398">
        <f t="shared" si="7"/>
        <v>1.0821909226624387</v>
      </c>
      <c r="Q18" s="398">
        <f t="shared" si="8"/>
        <v>1.0675853980605949</v>
      </c>
      <c r="R18" s="398">
        <f t="shared" si="4"/>
        <v>1.0460044848561456</v>
      </c>
      <c r="S18" s="394"/>
      <c r="Y18" s="399"/>
      <c r="Z18" s="399"/>
      <c r="AA18" s="399"/>
    </row>
    <row r="19" spans="1:27" x14ac:dyDescent="0.35">
      <c r="A19" s="326">
        <v>14</v>
      </c>
      <c r="B19" s="326" t="s">
        <v>69</v>
      </c>
      <c r="C19" s="304">
        <f>Bestämningsfaktorer!C20</f>
        <v>194316</v>
      </c>
      <c r="D19" s="396">
        <v>0.59158944162429206</v>
      </c>
      <c r="E19" s="396">
        <v>0.19781198998068586</v>
      </c>
      <c r="F19" s="396">
        <v>0.21059856839502203</v>
      </c>
      <c r="G19" s="403">
        <v>1.095766</v>
      </c>
      <c r="H19" s="403">
        <v>1.2806740000000001</v>
      </c>
      <c r="I19" s="403">
        <v>1.0871519999999999</v>
      </c>
      <c r="J19" s="397">
        <f t="shared" si="5"/>
        <v>1.1305289233751938</v>
      </c>
      <c r="K19" s="397">
        <f t="shared" si="0"/>
        <v>3.8797343732018014E-2</v>
      </c>
      <c r="L19" s="397">
        <f t="shared" si="1"/>
        <v>4.5344306527724386E-2</v>
      </c>
      <c r="M19" s="397">
        <f t="shared" si="2"/>
        <v>3.8492351316750877E-2</v>
      </c>
      <c r="N19" s="397">
        <f t="shared" si="3"/>
        <v>4.0028180504939601E-2</v>
      </c>
      <c r="O19" s="398">
        <f t="shared" si="6"/>
        <v>1.0959539007657757</v>
      </c>
      <c r="P19" s="398">
        <f t="shared" si="7"/>
        <v>1.2813997489684481</v>
      </c>
      <c r="Q19" s="398">
        <f t="shared" si="8"/>
        <v>1.0874824440060789</v>
      </c>
      <c r="R19" s="398">
        <f t="shared" si="4"/>
        <v>1.1308426821111905</v>
      </c>
      <c r="S19" s="394"/>
      <c r="Y19" s="399"/>
      <c r="Z19" s="399"/>
      <c r="AA19" s="399"/>
    </row>
    <row r="20" spans="1:27" x14ac:dyDescent="0.35">
      <c r="A20" s="326">
        <v>15</v>
      </c>
      <c r="B20" s="326" t="s">
        <v>71</v>
      </c>
      <c r="C20" s="304">
        <f>Bestämningsfaktorer!C21</f>
        <v>176193</v>
      </c>
      <c r="D20" s="396">
        <v>0.59158944162429206</v>
      </c>
      <c r="E20" s="396">
        <v>0.19781198998068586</v>
      </c>
      <c r="F20" s="396">
        <v>0.21059856839502203</v>
      </c>
      <c r="G20" s="403">
        <v>0.93563879999999999</v>
      </c>
      <c r="H20" s="403">
        <v>0.99543519999999996</v>
      </c>
      <c r="I20" s="403">
        <v>0.83497809999999995</v>
      </c>
      <c r="J20" s="397">
        <f t="shared" si="5"/>
        <v>0.92626824556404019</v>
      </c>
      <c r="K20" s="397">
        <f t="shared" si="0"/>
        <v>3.0038101701016558E-2</v>
      </c>
      <c r="L20" s="397">
        <f t="shared" si="1"/>
        <v>3.1957827929294677E-2</v>
      </c>
      <c r="M20" s="397">
        <f t="shared" si="2"/>
        <v>2.6806452539079796E-2</v>
      </c>
      <c r="N20" s="397">
        <f t="shared" si="3"/>
        <v>2.973726587939151E-2</v>
      </c>
      <c r="O20" s="398">
        <f t="shared" si="6"/>
        <v>0.9357992423271112</v>
      </c>
      <c r="P20" s="398">
        <f t="shared" si="7"/>
        <v>0.99599930614220078</v>
      </c>
      <c r="Q20" s="398">
        <f t="shared" si="8"/>
        <v>0.83523189478522986</v>
      </c>
      <c r="R20" s="398">
        <f t="shared" si="4"/>
        <v>0.92652531528416238</v>
      </c>
      <c r="S20" s="394"/>
      <c r="Y20" s="399"/>
      <c r="Z20" s="399"/>
      <c r="AA20" s="399"/>
    </row>
    <row r="21" spans="1:27" x14ac:dyDescent="0.35">
      <c r="A21" s="326">
        <v>16</v>
      </c>
      <c r="B21" s="326" t="s">
        <v>73</v>
      </c>
      <c r="C21" s="304">
        <f>Bestämningsfaktorer!C22</f>
        <v>68437</v>
      </c>
      <c r="D21" s="396">
        <v>0.59158944162429206</v>
      </c>
      <c r="E21" s="396">
        <v>0.19781198998068586</v>
      </c>
      <c r="F21" s="396">
        <v>0.21059856839502203</v>
      </c>
      <c r="G21" s="403">
        <v>1.047642</v>
      </c>
      <c r="H21" s="403">
        <v>1.098862</v>
      </c>
      <c r="I21" s="403">
        <v>1.077161</v>
      </c>
      <c r="J21" s="397">
        <f t="shared" si="5"/>
        <v>1.0639905892672632</v>
      </c>
      <c r="K21" s="397">
        <f t="shared" si="0"/>
        <v>1.3064099347865302E-2</v>
      </c>
      <c r="L21" s="397">
        <f t="shared" si="1"/>
        <v>1.3702812924256532E-2</v>
      </c>
      <c r="M21" s="397">
        <f t="shared" si="2"/>
        <v>1.3432201379522717E-2</v>
      </c>
      <c r="N21" s="397">
        <f t="shared" si="3"/>
        <v>1.326796631232928E-2</v>
      </c>
      <c r="O21" s="398">
        <f t="shared" si="6"/>
        <v>1.0478216485144261</v>
      </c>
      <c r="P21" s="398">
        <f t="shared" si="7"/>
        <v>1.0994847173839453</v>
      </c>
      <c r="Q21" s="398">
        <f t="shared" si="8"/>
        <v>1.0774884072034381</v>
      </c>
      <c r="R21" s="398">
        <f t="shared" si="4"/>
        <v>1.0642858814402438</v>
      </c>
      <c r="S21" s="394"/>
      <c r="Y21" s="399"/>
      <c r="Z21" s="399"/>
      <c r="AA21" s="399"/>
    </row>
    <row r="22" spans="1:27" x14ac:dyDescent="0.35">
      <c r="A22" s="326">
        <v>17</v>
      </c>
      <c r="B22" s="326" t="s">
        <v>75</v>
      </c>
      <c r="C22" s="304">
        <f>Bestämningsfaktorer!C23</f>
        <v>412161</v>
      </c>
      <c r="D22" s="396">
        <v>0.59158944162429206</v>
      </c>
      <c r="E22" s="396">
        <v>0.19781198998068586</v>
      </c>
      <c r="F22" s="396">
        <v>0.21059856839502203</v>
      </c>
      <c r="G22" s="403">
        <v>0.97497250000000002</v>
      </c>
      <c r="H22" s="403">
        <v>0.92708679999999999</v>
      </c>
      <c r="I22" s="403">
        <v>1.1309849999999999</v>
      </c>
      <c r="J22" s="397">
        <f t="shared" si="5"/>
        <v>0.9983561435431102</v>
      </c>
      <c r="K22" s="397">
        <f t="shared" si="0"/>
        <v>7.3220867685805546E-2</v>
      </c>
      <c r="L22" s="397">
        <f t="shared" si="1"/>
        <v>6.9624630352196473E-2</v>
      </c>
      <c r="M22" s="397">
        <f t="shared" si="2"/>
        <v>8.4937475713038862E-2</v>
      </c>
      <c r="N22" s="397">
        <f t="shared" si="3"/>
        <v>7.4976989699382462E-2</v>
      </c>
      <c r="O22" s="398">
        <f t="shared" si="6"/>
        <v>0.97513968722734612</v>
      </c>
      <c r="P22" s="398">
        <f t="shared" si="7"/>
        <v>0.92761217358356762</v>
      </c>
      <c r="Q22" s="398">
        <f t="shared" si="8"/>
        <v>1.1313287672139822</v>
      </c>
      <c r="R22" s="398">
        <f t="shared" si="4"/>
        <v>0.99863322001165156</v>
      </c>
      <c r="S22" s="394"/>
      <c r="Y22" s="399"/>
      <c r="Z22" s="399"/>
      <c r="AA22" s="399"/>
    </row>
    <row r="23" spans="1:27" x14ac:dyDescent="0.35">
      <c r="A23" s="326">
        <v>18</v>
      </c>
      <c r="B23" s="326" t="s">
        <v>77</v>
      </c>
      <c r="C23" s="304">
        <f>Bestämningsfaktorer!C24</f>
        <v>73061</v>
      </c>
      <c r="D23" s="396">
        <v>0.59158944162429206</v>
      </c>
      <c r="E23" s="396">
        <v>0.19781198998068586</v>
      </c>
      <c r="F23" s="396">
        <v>0.21059856839502203</v>
      </c>
      <c r="G23" s="403">
        <v>1.117397</v>
      </c>
      <c r="H23" s="403">
        <v>1.427872</v>
      </c>
      <c r="I23" s="403">
        <v>1.302303</v>
      </c>
      <c r="J23" s="397">
        <f t="shared" si="5"/>
        <v>1.2177536164769034</v>
      </c>
      <c r="K23" s="397">
        <f t="shared" si="0"/>
        <v>1.4875402407924012E-2</v>
      </c>
      <c r="L23" s="397">
        <f t="shared" si="1"/>
        <v>1.9008616084531527E-2</v>
      </c>
      <c r="M23" s="397">
        <f t="shared" si="2"/>
        <v>1.7336972608702782E-2</v>
      </c>
      <c r="N23" s="397">
        <f t="shared" si="3"/>
        <v>1.6211404790596986E-2</v>
      </c>
      <c r="O23" s="398">
        <f t="shared" si="6"/>
        <v>1.1175886100262058</v>
      </c>
      <c r="P23" s="398">
        <f t="shared" si="7"/>
        <v>1.4286811650420606</v>
      </c>
      <c r="Q23" s="398">
        <f t="shared" si="8"/>
        <v>1.3026988399749517</v>
      </c>
      <c r="R23" s="398">
        <f t="shared" si="4"/>
        <v>1.2180915829168246</v>
      </c>
      <c r="S23" s="394"/>
      <c r="Y23" s="399"/>
      <c r="Z23" s="399"/>
      <c r="AA23" s="399"/>
    </row>
    <row r="24" spans="1:27" x14ac:dyDescent="0.35">
      <c r="A24" s="326">
        <v>19</v>
      </c>
      <c r="B24" s="326" t="s">
        <v>79</v>
      </c>
      <c r="C24" s="304">
        <f>Bestämningsfaktorer!C25</f>
        <v>178522</v>
      </c>
      <c r="D24" s="396">
        <v>0.59158944162429206</v>
      </c>
      <c r="E24" s="396">
        <v>0.19781198998068586</v>
      </c>
      <c r="F24" s="396">
        <v>0.21059856839502203</v>
      </c>
      <c r="G24" s="403">
        <v>1.067531</v>
      </c>
      <c r="H24" s="403">
        <v>1.221271</v>
      </c>
      <c r="I24" s="403">
        <v>1.3185629999999999</v>
      </c>
      <c r="J24" s="397">
        <f t="shared" si="5"/>
        <v>1.1508095951609696</v>
      </c>
      <c r="K24" s="397">
        <f t="shared" si="0"/>
        <v>3.4725447316663417E-2</v>
      </c>
      <c r="L24" s="397">
        <f t="shared" si="1"/>
        <v>3.9726417096898212E-2</v>
      </c>
      <c r="M24" s="397">
        <f t="shared" si="2"/>
        <v>4.289120408700231E-2</v>
      </c>
      <c r="N24" s="397">
        <f t="shared" si="3"/>
        <v>3.7434395786420258E-2</v>
      </c>
      <c r="O24" s="398">
        <f t="shared" si="6"/>
        <v>1.0677140590585847</v>
      </c>
      <c r="P24" s="398">
        <f t="shared" si="7"/>
        <v>1.2219630857052188</v>
      </c>
      <c r="Q24" s="398">
        <f t="shared" si="8"/>
        <v>1.318963782264106</v>
      </c>
      <c r="R24" s="398">
        <f t="shared" si="4"/>
        <v>1.1511289824464117</v>
      </c>
      <c r="S24" s="394"/>
      <c r="Y24" s="399"/>
      <c r="Z24" s="399"/>
      <c r="AA24" s="399"/>
    </row>
    <row r="25" spans="1:27" x14ac:dyDescent="0.35">
      <c r="A25" s="347" t="s">
        <v>35</v>
      </c>
      <c r="B25" s="347"/>
      <c r="C25" s="307">
        <f>SUM(C3:C24)</f>
        <v>5488130</v>
      </c>
      <c r="D25" s="404"/>
      <c r="E25" s="404"/>
      <c r="F25" s="404"/>
      <c r="G25" s="403"/>
      <c r="H25" s="403"/>
      <c r="I25" s="403"/>
      <c r="J25" s="403"/>
      <c r="K25" s="405">
        <f>SUM(K3:K24)</f>
        <v>0.99982855048406294</v>
      </c>
      <c r="L25" s="405">
        <f>SUM(L3:L24)</f>
        <v>0.99943362797672441</v>
      </c>
      <c r="M25" s="405">
        <f>SUM(M3:M24)</f>
        <v>0.99969613853731587</v>
      </c>
      <c r="N25" s="398">
        <f>SUM(N3:N24)</f>
        <v>0.99972254431057472</v>
      </c>
      <c r="O25" s="403"/>
      <c r="P25" s="403"/>
      <c r="Q25" s="403"/>
      <c r="R25" s="398">
        <f t="shared" si="4"/>
        <v>0</v>
      </c>
      <c r="S25" s="394"/>
    </row>
    <row r="26" spans="1:27" x14ac:dyDescent="0.35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</row>
    <row r="27" spans="1:27" x14ac:dyDescent="0.35">
      <c r="A27" s="394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</row>
    <row r="28" spans="1:27" x14ac:dyDescent="0.35">
      <c r="A28" s="394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</row>
    <row r="29" spans="1:27" x14ac:dyDescent="0.35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</row>
    <row r="30" spans="1:27" x14ac:dyDescent="0.35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</row>
    <row r="31" spans="1:27" x14ac:dyDescent="0.35">
      <c r="A31" s="394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</row>
    <row r="32" spans="1:27" x14ac:dyDescent="0.35">
      <c r="A32" s="394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</row>
    <row r="33" spans="1:19" x14ac:dyDescent="0.35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</row>
    <row r="34" spans="1:19" x14ac:dyDescent="0.35">
      <c r="A34" s="394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</row>
    <row r="35" spans="1:19" x14ac:dyDescent="0.35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K76"/>
  <sheetViews>
    <sheetView zoomScale="70" zoomScaleNormal="70" workbookViewId="0"/>
  </sheetViews>
  <sheetFormatPr defaultColWidth="8.6640625" defaultRowHeight="15.5" x14ac:dyDescent="0.35"/>
  <cols>
    <col min="1" max="1" width="47.9140625" style="286" customWidth="1"/>
    <col min="2" max="2" width="31" style="286" customWidth="1"/>
    <col min="3" max="3" width="19.1640625" style="286" customWidth="1"/>
    <col min="4" max="4" width="30.6640625" style="286" bestFit="1" customWidth="1"/>
    <col min="5" max="5" width="29" style="286" customWidth="1"/>
    <col min="6" max="6" width="32.1640625" style="286" bestFit="1" customWidth="1"/>
    <col min="7" max="7" width="22.58203125" style="286" customWidth="1"/>
    <col min="8" max="8" width="50.1640625" style="286" bestFit="1" customWidth="1"/>
    <col min="9" max="9" width="25.1640625" style="286" customWidth="1"/>
    <col min="10" max="10" width="21.1640625" style="286" customWidth="1"/>
    <col min="11" max="11" width="48.6640625" style="286" bestFit="1" customWidth="1"/>
    <col min="12" max="12" width="23.5" style="286" customWidth="1"/>
    <col min="13" max="13" width="9.9140625" style="286" customWidth="1"/>
    <col min="14" max="14" width="26.4140625" style="286" customWidth="1"/>
    <col min="15" max="15" width="25.5" style="286" bestFit="1" customWidth="1"/>
    <col min="16" max="16" width="28.4140625" style="286" bestFit="1" customWidth="1"/>
    <col min="17" max="17" width="19.9140625" style="286" customWidth="1"/>
    <col min="18" max="18" width="36.1640625" style="286" bestFit="1" customWidth="1"/>
    <col min="19" max="19" width="17.58203125" style="286" customWidth="1"/>
    <col min="20" max="20" width="23.4140625" style="286" bestFit="1" customWidth="1"/>
    <col min="21" max="21" width="27.6640625" style="286" bestFit="1" customWidth="1"/>
    <col min="22" max="22" width="15.1640625" style="286" customWidth="1"/>
    <col min="23" max="23" width="10.08203125" style="286" customWidth="1"/>
    <col min="24" max="24" width="12.33203125" style="286" customWidth="1"/>
    <col min="25" max="25" width="13.58203125" style="286" customWidth="1"/>
    <col min="26" max="26" width="20.33203125" style="286" customWidth="1"/>
    <col min="27" max="27" width="30.6640625" style="286" bestFit="1" customWidth="1"/>
    <col min="28" max="28" width="18.58203125" style="286" customWidth="1"/>
    <col min="29" max="29" width="18.6640625" style="286" customWidth="1"/>
    <col min="30" max="30" width="15.1640625" style="286" customWidth="1"/>
    <col min="31" max="31" width="16.5" style="286" customWidth="1"/>
    <col min="32" max="32" width="15.33203125" style="286" customWidth="1"/>
    <col min="33" max="33" width="23.6640625" style="286" customWidth="1"/>
    <col min="34" max="34" width="28.83203125" style="286" bestFit="1" customWidth="1"/>
    <col min="35" max="35" width="15.83203125" style="286" customWidth="1"/>
    <col min="36" max="36" width="20.1640625" style="286" customWidth="1"/>
    <col min="37" max="37" width="32.33203125" style="286" bestFit="1" customWidth="1"/>
    <col min="38" max="38" width="20.6640625" style="286" customWidth="1"/>
    <col min="39" max="39" width="16.83203125" style="286" customWidth="1"/>
    <col min="40" max="40" width="17.1640625" style="286" customWidth="1"/>
    <col min="41" max="41" width="13.6640625" style="286" customWidth="1"/>
    <col min="42" max="42" width="20.83203125" style="286" customWidth="1"/>
    <col min="43" max="43" width="22" style="286" customWidth="1"/>
    <col min="44" max="44" width="15" style="286" customWidth="1"/>
    <col min="45" max="45" width="21.6640625" style="286" customWidth="1"/>
    <col min="46" max="46" width="12.1640625" style="286" customWidth="1"/>
    <col min="47" max="47" width="25.6640625" style="286" bestFit="1" customWidth="1"/>
    <col min="48" max="48" width="11" style="286" customWidth="1"/>
    <col min="49" max="49" width="13.5" style="286" customWidth="1"/>
    <col min="50" max="50" width="10.9140625" style="286" customWidth="1"/>
    <col min="51" max="51" width="14.33203125" style="286" customWidth="1"/>
    <col min="52" max="52" width="15" style="286" customWidth="1"/>
    <col min="53" max="53" width="16.6640625" style="286" customWidth="1"/>
    <col min="54" max="54" width="13.33203125" style="286" customWidth="1"/>
    <col min="55" max="55" width="20" style="286" customWidth="1"/>
    <col min="56" max="56" width="17.9140625" style="286" customWidth="1"/>
    <col min="57" max="57" width="45.33203125" style="286" bestFit="1" customWidth="1"/>
    <col min="58" max="58" width="31.58203125" style="286" bestFit="1" customWidth="1"/>
    <col min="59" max="59" width="12.1640625" style="286" customWidth="1"/>
    <col min="60" max="60" width="30.6640625" style="286" bestFit="1" customWidth="1"/>
    <col min="61" max="61" width="29.1640625" style="286" bestFit="1" customWidth="1"/>
    <col min="62" max="62" width="32.1640625" style="286" bestFit="1" customWidth="1"/>
    <col min="63" max="63" width="22.58203125" style="286" customWidth="1"/>
    <col min="64" max="64" width="50.1640625" style="286" bestFit="1" customWidth="1"/>
    <col min="65" max="65" width="25.1640625" style="286" customWidth="1"/>
    <col min="66" max="66" width="21.1640625" style="286" customWidth="1"/>
    <col min="67" max="67" width="48.6640625" style="286" bestFit="1" customWidth="1"/>
    <col min="68" max="68" width="23.5" style="286" customWidth="1"/>
    <col min="69" max="69" width="9.9140625" style="286" customWidth="1"/>
    <col min="70" max="70" width="26.4140625" style="286" customWidth="1"/>
    <col min="71" max="71" width="25.5" style="286" bestFit="1" customWidth="1"/>
    <col min="72" max="72" width="28.4140625" style="286" bestFit="1" customWidth="1"/>
    <col min="73" max="73" width="19.9140625" style="286" customWidth="1"/>
    <col min="74" max="74" width="36.1640625" style="286" bestFit="1" customWidth="1"/>
    <col min="75" max="75" width="17.58203125" style="286" customWidth="1"/>
    <col min="76" max="76" width="23.4140625" style="286" bestFit="1" customWidth="1"/>
    <col min="77" max="77" width="27.6640625" style="286" bestFit="1" customWidth="1"/>
    <col min="78" max="78" width="15.1640625" style="286" customWidth="1"/>
    <col min="79" max="79" width="10.08203125" style="286" customWidth="1"/>
    <col min="80" max="80" width="12.33203125" style="286" customWidth="1"/>
    <col min="81" max="81" width="13.58203125" style="286" customWidth="1"/>
    <col min="82" max="82" width="20.33203125" style="286" customWidth="1"/>
    <col min="83" max="83" width="30.6640625" style="286" bestFit="1" customWidth="1"/>
    <col min="84" max="84" width="18.58203125" style="286" customWidth="1"/>
    <col min="85" max="85" width="18.6640625" style="286" customWidth="1"/>
    <col min="86" max="86" width="15.1640625" style="286" customWidth="1"/>
    <col min="87" max="87" width="16.5" style="286" customWidth="1"/>
    <col min="88" max="88" width="15.33203125" style="286" customWidth="1"/>
    <col min="89" max="89" width="23.6640625" style="286" customWidth="1"/>
    <col min="90" max="90" width="28.83203125" style="286" bestFit="1" customWidth="1"/>
    <col min="91" max="91" width="15.83203125" style="286" customWidth="1"/>
    <col min="92" max="92" width="20.1640625" style="286" customWidth="1"/>
    <col min="93" max="93" width="32.33203125" style="286" bestFit="1" customWidth="1"/>
    <col min="94" max="94" width="20.6640625" style="286" customWidth="1"/>
    <col min="95" max="95" width="16.83203125" style="286" customWidth="1"/>
    <col min="96" max="96" width="17.1640625" style="286" customWidth="1"/>
    <col min="97" max="97" width="13.6640625" style="286" customWidth="1"/>
    <col min="98" max="98" width="20.83203125" style="286" customWidth="1"/>
    <col min="99" max="99" width="22" style="286" customWidth="1"/>
    <col min="100" max="100" width="15" style="286" customWidth="1"/>
    <col min="101" max="101" width="21.6640625" style="286" customWidth="1"/>
    <col min="102" max="102" width="12.1640625" style="286" customWidth="1"/>
    <col min="103" max="103" width="25.6640625" style="286" bestFit="1" customWidth="1"/>
    <col min="104" max="104" width="11" style="286" customWidth="1"/>
    <col min="105" max="105" width="13.5" style="286" customWidth="1"/>
    <col min="106" max="106" width="10.9140625" style="286" customWidth="1"/>
    <col min="107" max="107" width="14.33203125" style="286" customWidth="1"/>
    <col min="108" max="108" width="15" style="286" customWidth="1"/>
    <col min="109" max="109" width="16.6640625" style="286" customWidth="1"/>
    <col min="110" max="110" width="13.33203125" style="286" customWidth="1"/>
    <col min="111" max="111" width="20" style="286" customWidth="1"/>
    <col min="112" max="112" width="8.6640625" style="286"/>
    <col min="113" max="113" width="45.33203125" style="286" bestFit="1" customWidth="1"/>
    <col min="114" max="114" width="31.58203125" style="286" bestFit="1" customWidth="1"/>
    <col min="115" max="115" width="12.1640625" style="286" customWidth="1"/>
    <col min="116" max="116" width="30.6640625" style="286" bestFit="1" customWidth="1"/>
    <col min="117" max="117" width="29.1640625" style="286" bestFit="1" customWidth="1"/>
    <col min="118" max="118" width="32.1640625" style="286" bestFit="1" customWidth="1"/>
    <col min="119" max="119" width="22.58203125" style="286" customWidth="1"/>
    <col min="120" max="120" width="50.1640625" style="286" bestFit="1" customWidth="1"/>
    <col min="121" max="121" width="25.1640625" style="286" customWidth="1"/>
    <col min="122" max="122" width="21.1640625" style="286" customWidth="1"/>
    <col min="123" max="123" width="48.6640625" style="286" bestFit="1" customWidth="1"/>
    <col min="124" max="124" width="23.5" style="286" customWidth="1"/>
    <col min="125" max="125" width="9.9140625" style="286" customWidth="1"/>
    <col min="126" max="126" width="26.4140625" style="286" customWidth="1"/>
    <col min="127" max="127" width="25.5" style="286" bestFit="1" customWidth="1"/>
    <col min="128" max="128" width="28.4140625" style="286" bestFit="1" customWidth="1"/>
    <col min="129" max="129" width="19.9140625" style="286" customWidth="1"/>
    <col min="130" max="130" width="36.1640625" style="286" bestFit="1" customWidth="1"/>
    <col min="131" max="131" width="17.58203125" style="286" customWidth="1"/>
    <col min="132" max="132" width="23.4140625" style="286" bestFit="1" customWidth="1"/>
    <col min="133" max="133" width="27.6640625" style="286" bestFit="1" customWidth="1"/>
    <col min="134" max="134" width="15.1640625" style="286" customWidth="1"/>
    <col min="135" max="135" width="10.08203125" style="286" customWidth="1"/>
    <col min="136" max="136" width="12.33203125" style="286" customWidth="1"/>
    <col min="137" max="137" width="13.58203125" style="286" customWidth="1"/>
    <col min="138" max="138" width="20.33203125" style="286" customWidth="1"/>
    <col min="139" max="139" width="30.6640625" style="286" bestFit="1" customWidth="1"/>
    <col min="140" max="140" width="18.58203125" style="286" customWidth="1"/>
    <col min="141" max="141" width="18.6640625" style="286" customWidth="1"/>
    <col min="142" max="142" width="15.1640625" style="286" customWidth="1"/>
    <col min="143" max="143" width="16.5" style="286" customWidth="1"/>
    <col min="144" max="144" width="15.33203125" style="286" customWidth="1"/>
    <col min="145" max="145" width="23.6640625" style="286" customWidth="1"/>
    <col min="146" max="146" width="28.83203125" style="286" bestFit="1" customWidth="1"/>
    <col min="147" max="147" width="15.83203125" style="286" customWidth="1"/>
    <col min="148" max="148" width="20.1640625" style="286" customWidth="1"/>
    <col min="149" max="149" width="32.33203125" style="286" bestFit="1" customWidth="1"/>
    <col min="150" max="150" width="20.6640625" style="286" customWidth="1"/>
    <col min="151" max="151" width="16.83203125" style="286" customWidth="1"/>
    <col min="152" max="152" width="17.1640625" style="286" customWidth="1"/>
    <col min="153" max="153" width="13.6640625" style="286" customWidth="1"/>
    <col min="154" max="154" width="20.83203125" style="286" customWidth="1"/>
    <col min="155" max="155" width="22" style="286" customWidth="1"/>
    <col min="156" max="156" width="15" style="286" customWidth="1"/>
    <col min="157" max="157" width="21.6640625" style="286" customWidth="1"/>
    <col min="158" max="158" width="12.1640625" style="286" customWidth="1"/>
    <col min="159" max="159" width="25.6640625" style="286" bestFit="1" customWidth="1"/>
    <col min="160" max="160" width="11" style="286" customWidth="1"/>
    <col min="161" max="161" width="13.5" style="286" customWidth="1"/>
    <col min="162" max="162" width="10.9140625" style="286" customWidth="1"/>
    <col min="163" max="163" width="14.33203125" style="286" customWidth="1"/>
    <col min="164" max="164" width="15" style="286" customWidth="1"/>
    <col min="165" max="165" width="16.6640625" style="286" customWidth="1"/>
    <col min="166" max="166" width="13.33203125" style="286" customWidth="1"/>
    <col min="167" max="167" width="20" style="286" customWidth="1"/>
    <col min="168" max="16384" width="8.6640625" style="286"/>
  </cols>
  <sheetData>
    <row r="1" spans="1:167" ht="20" x14ac:dyDescent="0.4">
      <c r="A1" s="486" t="s">
        <v>846</v>
      </c>
    </row>
    <row r="2" spans="1:167" s="326" customFormat="1" x14ac:dyDescent="0.35">
      <c r="A2" s="408" t="s">
        <v>657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408"/>
      <c r="BE2" s="408" t="s">
        <v>658</v>
      </c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I2" s="409" t="s">
        <v>659</v>
      </c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</row>
    <row r="3" spans="1:167" s="326" customFormat="1" x14ac:dyDescent="0.35">
      <c r="B3" s="292"/>
      <c r="C3" s="292"/>
      <c r="D3" s="292"/>
      <c r="E3" s="292"/>
      <c r="F3" s="292"/>
      <c r="G3" s="411" t="s">
        <v>660</v>
      </c>
      <c r="H3" s="411" t="s">
        <v>660</v>
      </c>
      <c r="I3" s="411" t="s">
        <v>660</v>
      </c>
      <c r="J3" s="292"/>
      <c r="K3" s="292"/>
      <c r="L3" s="292"/>
      <c r="M3" s="411" t="s">
        <v>660</v>
      </c>
      <c r="N3" s="292"/>
      <c r="O3" s="292"/>
      <c r="P3" s="411" t="s">
        <v>661</v>
      </c>
      <c r="Q3" s="411" t="s">
        <v>661</v>
      </c>
      <c r="R3" s="411" t="s">
        <v>661</v>
      </c>
      <c r="S3" s="411" t="s">
        <v>661</v>
      </c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411" t="s">
        <v>660</v>
      </c>
      <c r="BL3" s="411" t="s">
        <v>660</v>
      </c>
      <c r="BM3" s="411" t="s">
        <v>660</v>
      </c>
      <c r="BN3" s="292"/>
      <c r="BO3" s="292"/>
      <c r="BP3" s="292"/>
      <c r="BQ3" s="411" t="s">
        <v>660</v>
      </c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</row>
    <row r="4" spans="1:167" ht="46.5" x14ac:dyDescent="0.35">
      <c r="A4" s="412" t="s">
        <v>662</v>
      </c>
      <c r="B4" s="412" t="s">
        <v>663</v>
      </c>
      <c r="C4" s="412" t="s">
        <v>664</v>
      </c>
      <c r="D4" s="412" t="s">
        <v>665</v>
      </c>
      <c r="E4" s="412" t="s">
        <v>666</v>
      </c>
      <c r="F4" s="412" t="s">
        <v>667</v>
      </c>
      <c r="G4" s="412" t="s">
        <v>668</v>
      </c>
      <c r="H4" s="412" t="s">
        <v>669</v>
      </c>
      <c r="I4" s="412" t="s">
        <v>670</v>
      </c>
      <c r="J4" s="412" t="s">
        <v>671</v>
      </c>
      <c r="K4" s="412" t="s">
        <v>672</v>
      </c>
      <c r="L4" s="412" t="s">
        <v>673</v>
      </c>
      <c r="M4" s="412" t="s">
        <v>674</v>
      </c>
      <c r="N4" s="412" t="s">
        <v>675</v>
      </c>
      <c r="O4" s="412" t="s">
        <v>676</v>
      </c>
      <c r="P4" s="412" t="s">
        <v>677</v>
      </c>
      <c r="Q4" s="412" t="s">
        <v>678</v>
      </c>
      <c r="R4" s="412" t="s">
        <v>679</v>
      </c>
      <c r="S4" s="412" t="s">
        <v>680</v>
      </c>
      <c r="T4" s="412" t="s">
        <v>681</v>
      </c>
      <c r="U4" s="412" t="s">
        <v>682</v>
      </c>
      <c r="V4" s="412" t="s">
        <v>683</v>
      </c>
      <c r="W4" s="412" t="s">
        <v>684</v>
      </c>
      <c r="X4" s="412" t="s">
        <v>685</v>
      </c>
      <c r="Y4" s="412" t="s">
        <v>686</v>
      </c>
      <c r="Z4" s="412" t="s">
        <v>687</v>
      </c>
      <c r="AA4" s="412" t="s">
        <v>688</v>
      </c>
      <c r="AB4" s="412" t="s">
        <v>689</v>
      </c>
      <c r="AC4" s="412" t="s">
        <v>690</v>
      </c>
      <c r="AD4" s="412" t="s">
        <v>691</v>
      </c>
      <c r="AE4" s="412" t="s">
        <v>692</v>
      </c>
      <c r="AF4" s="412" t="s">
        <v>693</v>
      </c>
      <c r="AG4" s="412" t="s">
        <v>694</v>
      </c>
      <c r="AH4" s="412" t="s">
        <v>695</v>
      </c>
      <c r="AI4" s="412" t="s">
        <v>696</v>
      </c>
      <c r="AJ4" s="412" t="s">
        <v>697</v>
      </c>
      <c r="AK4" s="412" t="s">
        <v>698</v>
      </c>
      <c r="AL4" s="412" t="s">
        <v>699</v>
      </c>
      <c r="AM4" s="412" t="s">
        <v>700</v>
      </c>
      <c r="AN4" s="412" t="s">
        <v>701</v>
      </c>
      <c r="AO4" s="412" t="s">
        <v>702</v>
      </c>
      <c r="AP4" s="412" t="s">
        <v>703</v>
      </c>
      <c r="AQ4" s="412" t="s">
        <v>704</v>
      </c>
      <c r="AR4" s="412" t="s">
        <v>705</v>
      </c>
      <c r="AS4" s="412" t="s">
        <v>706</v>
      </c>
      <c r="AT4" s="412" t="s">
        <v>707</v>
      </c>
      <c r="AU4" s="412" t="s">
        <v>708</v>
      </c>
      <c r="AV4" s="412" t="s">
        <v>709</v>
      </c>
      <c r="AW4" s="412" t="s">
        <v>710</v>
      </c>
      <c r="AX4" s="412" t="s">
        <v>711</v>
      </c>
      <c r="AY4" s="412" t="s">
        <v>712</v>
      </c>
      <c r="AZ4" s="412" t="s">
        <v>713</v>
      </c>
      <c r="BA4" s="412" t="s">
        <v>714</v>
      </c>
      <c r="BB4" s="412" t="s">
        <v>715</v>
      </c>
      <c r="BC4" s="412" t="s">
        <v>716</v>
      </c>
      <c r="BD4" s="292"/>
      <c r="BE4" s="413" t="s">
        <v>717</v>
      </c>
      <c r="BF4" s="413" t="s">
        <v>663</v>
      </c>
      <c r="BG4" s="413" t="s">
        <v>664</v>
      </c>
      <c r="BH4" s="413" t="s">
        <v>665</v>
      </c>
      <c r="BI4" s="413" t="s">
        <v>666</v>
      </c>
      <c r="BJ4" s="413" t="s">
        <v>667</v>
      </c>
      <c r="BK4" s="413" t="s">
        <v>668</v>
      </c>
      <c r="BL4" s="413" t="s">
        <v>669</v>
      </c>
      <c r="BM4" s="413" t="s">
        <v>670</v>
      </c>
      <c r="BN4" s="413" t="s">
        <v>671</v>
      </c>
      <c r="BO4" s="413" t="s">
        <v>672</v>
      </c>
      <c r="BP4" s="413" t="s">
        <v>673</v>
      </c>
      <c r="BQ4" s="413" t="s">
        <v>674</v>
      </c>
      <c r="BR4" s="413" t="s">
        <v>675</v>
      </c>
      <c r="BS4" s="413" t="s">
        <v>676</v>
      </c>
      <c r="BT4" s="413" t="s">
        <v>677</v>
      </c>
      <c r="BU4" s="413" t="s">
        <v>678</v>
      </c>
      <c r="BV4" s="413" t="s">
        <v>679</v>
      </c>
      <c r="BW4" s="413" t="s">
        <v>680</v>
      </c>
      <c r="BX4" s="413" t="s">
        <v>681</v>
      </c>
      <c r="BY4" s="413" t="s">
        <v>682</v>
      </c>
      <c r="BZ4" s="413" t="s">
        <v>683</v>
      </c>
      <c r="CA4" s="413" t="s">
        <v>684</v>
      </c>
      <c r="CB4" s="413" t="s">
        <v>685</v>
      </c>
      <c r="CC4" s="413" t="s">
        <v>686</v>
      </c>
      <c r="CD4" s="413" t="s">
        <v>687</v>
      </c>
      <c r="CE4" s="413" t="s">
        <v>688</v>
      </c>
      <c r="CF4" s="413" t="s">
        <v>689</v>
      </c>
      <c r="CG4" s="413" t="s">
        <v>690</v>
      </c>
      <c r="CH4" s="413" t="s">
        <v>691</v>
      </c>
      <c r="CI4" s="413" t="s">
        <v>692</v>
      </c>
      <c r="CJ4" s="413" t="s">
        <v>693</v>
      </c>
      <c r="CK4" s="413" t="s">
        <v>694</v>
      </c>
      <c r="CL4" s="413" t="s">
        <v>695</v>
      </c>
      <c r="CM4" s="413" t="s">
        <v>696</v>
      </c>
      <c r="CN4" s="413" t="s">
        <v>697</v>
      </c>
      <c r="CO4" s="413" t="s">
        <v>698</v>
      </c>
      <c r="CP4" s="413" t="s">
        <v>699</v>
      </c>
      <c r="CQ4" s="413" t="s">
        <v>700</v>
      </c>
      <c r="CR4" s="413" t="s">
        <v>701</v>
      </c>
      <c r="CS4" s="413" t="s">
        <v>702</v>
      </c>
      <c r="CT4" s="413" t="s">
        <v>703</v>
      </c>
      <c r="CU4" s="413" t="s">
        <v>704</v>
      </c>
      <c r="CV4" s="413" t="s">
        <v>705</v>
      </c>
      <c r="CW4" s="413" t="s">
        <v>706</v>
      </c>
      <c r="CX4" s="413" t="s">
        <v>707</v>
      </c>
      <c r="CY4" s="413" t="s">
        <v>708</v>
      </c>
      <c r="CZ4" s="413" t="s">
        <v>709</v>
      </c>
      <c r="DA4" s="413" t="s">
        <v>710</v>
      </c>
      <c r="DB4" s="413" t="s">
        <v>711</v>
      </c>
      <c r="DC4" s="413" t="s">
        <v>712</v>
      </c>
      <c r="DD4" s="413" t="s">
        <v>713</v>
      </c>
      <c r="DE4" s="413" t="s">
        <v>714</v>
      </c>
      <c r="DF4" s="413" t="s">
        <v>715</v>
      </c>
      <c r="DG4" s="413" t="s">
        <v>716</v>
      </c>
      <c r="DI4" s="414" t="s">
        <v>718</v>
      </c>
      <c r="DJ4" s="415" t="s">
        <v>663</v>
      </c>
      <c r="DK4" s="415" t="s">
        <v>664</v>
      </c>
      <c r="DL4" s="415" t="s">
        <v>665</v>
      </c>
      <c r="DM4" s="415" t="s">
        <v>666</v>
      </c>
      <c r="DN4" s="415" t="s">
        <v>667</v>
      </c>
      <c r="DO4" s="415" t="s">
        <v>668</v>
      </c>
      <c r="DP4" s="415" t="s">
        <v>669</v>
      </c>
      <c r="DQ4" s="415" t="s">
        <v>670</v>
      </c>
      <c r="DR4" s="415" t="s">
        <v>671</v>
      </c>
      <c r="DS4" s="415" t="s">
        <v>672</v>
      </c>
      <c r="DT4" s="415" t="s">
        <v>673</v>
      </c>
      <c r="DU4" s="415" t="s">
        <v>674</v>
      </c>
      <c r="DV4" s="415" t="s">
        <v>675</v>
      </c>
      <c r="DW4" s="415" t="s">
        <v>676</v>
      </c>
      <c r="DX4" s="415" t="s">
        <v>677</v>
      </c>
      <c r="DY4" s="415" t="s">
        <v>678</v>
      </c>
      <c r="DZ4" s="415" t="s">
        <v>679</v>
      </c>
      <c r="EA4" s="415" t="s">
        <v>680</v>
      </c>
      <c r="EB4" s="415" t="s">
        <v>681</v>
      </c>
      <c r="EC4" s="415" t="s">
        <v>682</v>
      </c>
      <c r="ED4" s="415" t="s">
        <v>683</v>
      </c>
      <c r="EE4" s="415" t="s">
        <v>684</v>
      </c>
      <c r="EF4" s="415" t="s">
        <v>685</v>
      </c>
      <c r="EG4" s="415" t="s">
        <v>686</v>
      </c>
      <c r="EH4" s="415" t="s">
        <v>687</v>
      </c>
      <c r="EI4" s="415" t="s">
        <v>688</v>
      </c>
      <c r="EJ4" s="415" t="s">
        <v>689</v>
      </c>
      <c r="EK4" s="415" t="s">
        <v>690</v>
      </c>
      <c r="EL4" s="415" t="s">
        <v>691</v>
      </c>
      <c r="EM4" s="415" t="s">
        <v>692</v>
      </c>
      <c r="EN4" s="415" t="s">
        <v>693</v>
      </c>
      <c r="EO4" s="415" t="s">
        <v>694</v>
      </c>
      <c r="EP4" s="415" t="s">
        <v>695</v>
      </c>
      <c r="EQ4" s="415" t="s">
        <v>696</v>
      </c>
      <c r="ER4" s="415" t="s">
        <v>697</v>
      </c>
      <c r="ES4" s="415" t="s">
        <v>698</v>
      </c>
      <c r="ET4" s="415" t="s">
        <v>699</v>
      </c>
      <c r="EU4" s="415" t="s">
        <v>700</v>
      </c>
      <c r="EV4" s="415" t="s">
        <v>701</v>
      </c>
      <c r="EW4" s="415" t="s">
        <v>702</v>
      </c>
      <c r="EX4" s="415" t="s">
        <v>703</v>
      </c>
      <c r="EY4" s="415" t="s">
        <v>704</v>
      </c>
      <c r="EZ4" s="415" t="s">
        <v>705</v>
      </c>
      <c r="FA4" s="415" t="s">
        <v>706</v>
      </c>
      <c r="FB4" s="415" t="s">
        <v>707</v>
      </c>
      <c r="FC4" s="415" t="s">
        <v>708</v>
      </c>
      <c r="FD4" s="415" t="s">
        <v>709</v>
      </c>
      <c r="FE4" s="415" t="s">
        <v>710</v>
      </c>
      <c r="FF4" s="415" t="s">
        <v>711</v>
      </c>
      <c r="FG4" s="415" t="s">
        <v>712</v>
      </c>
      <c r="FH4" s="415" t="s">
        <v>713</v>
      </c>
      <c r="FI4" s="415" t="s">
        <v>714</v>
      </c>
      <c r="FJ4" s="415" t="s">
        <v>715</v>
      </c>
      <c r="FK4" s="416" t="s">
        <v>716</v>
      </c>
    </row>
    <row r="5" spans="1:167" x14ac:dyDescent="0.35">
      <c r="A5" s="408" t="s">
        <v>719</v>
      </c>
      <c r="B5" s="417">
        <f t="shared" ref="B5:K7" si="0">BF5+DJ5</f>
        <v>7875233</v>
      </c>
      <c r="C5" s="417">
        <f t="shared" si="0"/>
        <v>196109</v>
      </c>
      <c r="D5" s="417">
        <f t="shared" si="0"/>
        <v>105164</v>
      </c>
      <c r="E5" s="417">
        <f t="shared" si="0"/>
        <v>108635</v>
      </c>
      <c r="F5" s="417">
        <f t="shared" si="0"/>
        <v>162782</v>
      </c>
      <c r="G5" s="417">
        <f t="shared" si="0"/>
        <v>193342</v>
      </c>
      <c r="H5" s="417">
        <f t="shared" si="0"/>
        <v>688933</v>
      </c>
      <c r="I5" s="417">
        <f t="shared" si="0"/>
        <v>118861</v>
      </c>
      <c r="J5" s="417">
        <f t="shared" si="0"/>
        <v>66413</v>
      </c>
      <c r="K5" s="417">
        <f t="shared" si="0"/>
        <v>218969</v>
      </c>
      <c r="L5" s="417">
        <f t="shared" ref="L5:U7" si="1">BP5+DT5</f>
        <v>169216</v>
      </c>
      <c r="M5" s="417">
        <f t="shared" si="1"/>
        <v>659371</v>
      </c>
      <c r="N5" s="417">
        <f t="shared" si="1"/>
        <v>78448</v>
      </c>
      <c r="O5" s="417">
        <f t="shared" si="1"/>
        <v>55548</v>
      </c>
      <c r="P5" s="417">
        <f t="shared" si="1"/>
        <v>906430</v>
      </c>
      <c r="Q5" s="417">
        <f t="shared" si="1"/>
        <v>295398</v>
      </c>
      <c r="R5" s="417">
        <f t="shared" si="1"/>
        <v>430299</v>
      </c>
      <c r="S5" s="417">
        <f t="shared" si="1"/>
        <v>3339569</v>
      </c>
      <c r="T5" s="417">
        <f t="shared" si="1"/>
        <v>52935</v>
      </c>
      <c r="U5" s="417">
        <f t="shared" si="1"/>
        <v>224920</v>
      </c>
      <c r="V5" s="417">
        <f t="shared" ref="V5:AE7" si="2">BZ5+ED5</f>
        <v>1339129</v>
      </c>
      <c r="W5" s="417">
        <f t="shared" si="2"/>
        <v>171860</v>
      </c>
      <c r="X5" s="417">
        <f t="shared" si="2"/>
        <v>2326314</v>
      </c>
      <c r="Y5" s="417">
        <f t="shared" si="2"/>
        <v>363914</v>
      </c>
      <c r="Z5" s="417">
        <f t="shared" si="2"/>
        <v>648733</v>
      </c>
      <c r="AA5" s="417">
        <f t="shared" si="2"/>
        <v>95537</v>
      </c>
      <c r="AB5" s="417">
        <f t="shared" si="2"/>
        <v>46374</v>
      </c>
      <c r="AC5" s="417">
        <f t="shared" si="2"/>
        <v>7787</v>
      </c>
      <c r="AD5" s="417">
        <f t="shared" si="2"/>
        <v>135245</v>
      </c>
      <c r="AE5" s="417">
        <f t="shared" si="2"/>
        <v>132309</v>
      </c>
      <c r="AF5" s="417">
        <f t="shared" ref="AF5:AO7" si="3">CJ5+EN5</f>
        <v>102613</v>
      </c>
      <c r="AG5" s="417">
        <f t="shared" si="3"/>
        <v>43288</v>
      </c>
      <c r="AH5" s="417">
        <f t="shared" si="3"/>
        <v>19977</v>
      </c>
      <c r="AI5" s="417">
        <f t="shared" si="3"/>
        <v>36984</v>
      </c>
      <c r="AJ5" s="417">
        <f t="shared" si="3"/>
        <v>31844</v>
      </c>
      <c r="AK5" s="417">
        <f t="shared" si="3"/>
        <v>5501908</v>
      </c>
      <c r="AL5" s="417">
        <f t="shared" si="3"/>
        <v>157254</v>
      </c>
      <c r="AM5" s="417">
        <f t="shared" si="3"/>
        <v>47739</v>
      </c>
      <c r="AN5" s="417">
        <f t="shared" si="3"/>
        <v>30272</v>
      </c>
      <c r="AO5" s="417">
        <f t="shared" si="3"/>
        <v>97440</v>
      </c>
      <c r="AP5" s="417">
        <f t="shared" ref="AP5:AY7" si="4">CT5+EX5</f>
        <v>74724</v>
      </c>
      <c r="AQ5" s="417">
        <f t="shared" si="4"/>
        <v>238538</v>
      </c>
      <c r="AR5" s="417">
        <f t="shared" si="4"/>
        <v>101846</v>
      </c>
      <c r="AS5" s="417">
        <f t="shared" si="4"/>
        <v>263158</v>
      </c>
      <c r="AT5" s="417">
        <f t="shared" si="4"/>
        <v>1274422</v>
      </c>
      <c r="AU5" s="417">
        <f t="shared" si="4"/>
        <v>116650</v>
      </c>
      <c r="AV5" s="417">
        <f t="shared" si="4"/>
        <v>91636</v>
      </c>
      <c r="AW5" s="417">
        <f t="shared" si="4"/>
        <v>1276</v>
      </c>
      <c r="AX5" s="417">
        <f t="shared" si="4"/>
        <v>11813</v>
      </c>
      <c r="AY5" s="417">
        <f t="shared" si="4"/>
        <v>87174</v>
      </c>
      <c r="AZ5" s="417">
        <f t="shared" ref="AZ5:BC7" si="5">DD5+FH5</f>
        <v>1465</v>
      </c>
      <c r="BA5" s="417">
        <f t="shared" si="5"/>
        <v>7228</v>
      </c>
      <c r="BB5" s="417">
        <f t="shared" si="5"/>
        <v>58137</v>
      </c>
      <c r="BC5" s="417">
        <f t="shared" si="5"/>
        <v>16234022</v>
      </c>
      <c r="BD5" s="292"/>
      <c r="BE5" s="408" t="s">
        <v>719</v>
      </c>
      <c r="BF5" s="418">
        <v>3400368</v>
      </c>
      <c r="BG5" s="418">
        <v>172568</v>
      </c>
      <c r="BH5" s="418">
        <v>82870</v>
      </c>
      <c r="BI5" s="418">
        <v>89288</v>
      </c>
      <c r="BJ5" s="418">
        <v>129307</v>
      </c>
      <c r="BK5" s="418">
        <v>173834</v>
      </c>
      <c r="BL5" s="418">
        <v>495357</v>
      </c>
      <c r="BM5" s="418">
        <v>84515</v>
      </c>
      <c r="BN5" s="418">
        <v>5070</v>
      </c>
      <c r="BO5" s="418">
        <v>94394</v>
      </c>
      <c r="BP5" s="418">
        <v>86751</v>
      </c>
      <c r="BQ5" s="418">
        <v>484282</v>
      </c>
      <c r="BR5" s="418">
        <v>64571</v>
      </c>
      <c r="BS5" s="418">
        <v>43409</v>
      </c>
      <c r="BT5" s="418">
        <v>639759</v>
      </c>
      <c r="BU5" s="418">
        <v>217447</v>
      </c>
      <c r="BV5" s="418">
        <v>312300</v>
      </c>
      <c r="BW5" s="418">
        <v>203989</v>
      </c>
      <c r="BX5" s="418">
        <v>41670</v>
      </c>
      <c r="BY5" s="418">
        <v>151555</v>
      </c>
      <c r="BZ5" s="418">
        <v>1339129</v>
      </c>
      <c r="CA5" s="418">
        <v>171698</v>
      </c>
      <c r="CB5" s="418">
        <v>2320258</v>
      </c>
      <c r="CC5" s="418">
        <v>346377</v>
      </c>
      <c r="CD5" s="418">
        <v>166041</v>
      </c>
      <c r="CE5" s="418">
        <v>88215</v>
      </c>
      <c r="CF5" s="418">
        <v>43694</v>
      </c>
      <c r="CG5" s="418">
        <v>4424</v>
      </c>
      <c r="CH5" s="418">
        <v>135245</v>
      </c>
      <c r="CI5" s="418">
        <v>130270</v>
      </c>
      <c r="CJ5" s="418">
        <v>99646</v>
      </c>
      <c r="CK5" s="418">
        <v>43288</v>
      </c>
      <c r="CL5" s="418">
        <v>18384</v>
      </c>
      <c r="CM5" s="418">
        <v>36984</v>
      </c>
      <c r="CN5" s="418">
        <v>31359</v>
      </c>
      <c r="CO5" s="418">
        <v>4975012</v>
      </c>
      <c r="CP5" s="418">
        <v>147728</v>
      </c>
      <c r="CQ5" s="418">
        <v>47579</v>
      </c>
      <c r="CR5" s="418">
        <v>29692</v>
      </c>
      <c r="CS5" s="418">
        <v>97440</v>
      </c>
      <c r="CT5" s="418">
        <v>74724</v>
      </c>
      <c r="CU5" s="418">
        <v>209276</v>
      </c>
      <c r="CV5" s="418">
        <v>99615</v>
      </c>
      <c r="CW5" s="418">
        <v>237905</v>
      </c>
      <c r="CX5" s="418">
        <v>836939</v>
      </c>
      <c r="CY5" s="418">
        <v>111505</v>
      </c>
      <c r="CZ5" s="418">
        <v>71374</v>
      </c>
      <c r="DA5" s="418">
        <v>1242</v>
      </c>
      <c r="DB5" s="418">
        <v>4390</v>
      </c>
      <c r="DC5" s="418">
        <v>69185</v>
      </c>
      <c r="DD5" s="418">
        <v>1465</v>
      </c>
      <c r="DE5" s="418">
        <v>6777</v>
      </c>
      <c r="DF5" s="418">
        <v>49182</v>
      </c>
      <c r="DG5" s="418">
        <v>10643966</v>
      </c>
      <c r="DI5" s="419" t="s">
        <v>719</v>
      </c>
      <c r="DJ5" s="420">
        <v>4474865</v>
      </c>
      <c r="DK5" s="420">
        <v>23541</v>
      </c>
      <c r="DL5" s="420">
        <v>22294</v>
      </c>
      <c r="DM5" s="420">
        <v>19347</v>
      </c>
      <c r="DN5" s="420">
        <v>33475</v>
      </c>
      <c r="DO5" s="420">
        <v>19508</v>
      </c>
      <c r="DP5" s="420">
        <v>193576</v>
      </c>
      <c r="DQ5" s="420">
        <v>34346</v>
      </c>
      <c r="DR5" s="420">
        <v>61343</v>
      </c>
      <c r="DS5" s="420">
        <v>124575</v>
      </c>
      <c r="DT5" s="420">
        <v>82465</v>
      </c>
      <c r="DU5" s="420">
        <v>175089</v>
      </c>
      <c r="DV5" s="420">
        <v>13877</v>
      </c>
      <c r="DW5" s="420">
        <v>12139</v>
      </c>
      <c r="DX5" s="420">
        <v>266671</v>
      </c>
      <c r="DY5" s="420">
        <v>77951</v>
      </c>
      <c r="DZ5" s="420">
        <v>117999</v>
      </c>
      <c r="EA5" s="420">
        <v>3135580</v>
      </c>
      <c r="EB5" s="420">
        <v>11265</v>
      </c>
      <c r="EC5" s="420">
        <v>73365</v>
      </c>
      <c r="ED5" s="420">
        <v>0</v>
      </c>
      <c r="EE5" s="420">
        <v>162</v>
      </c>
      <c r="EF5" s="420">
        <v>6056</v>
      </c>
      <c r="EG5" s="420">
        <v>17537</v>
      </c>
      <c r="EH5" s="420">
        <v>482692</v>
      </c>
      <c r="EI5" s="420">
        <v>7322</v>
      </c>
      <c r="EJ5" s="420">
        <v>2680</v>
      </c>
      <c r="EK5" s="420">
        <v>3363</v>
      </c>
      <c r="EL5" s="420">
        <v>0</v>
      </c>
      <c r="EM5" s="420">
        <v>2039</v>
      </c>
      <c r="EN5" s="420">
        <v>2967</v>
      </c>
      <c r="EO5" s="420">
        <v>0</v>
      </c>
      <c r="EP5" s="420">
        <v>1593</v>
      </c>
      <c r="EQ5" s="420">
        <v>0</v>
      </c>
      <c r="ER5" s="420">
        <v>485</v>
      </c>
      <c r="ES5" s="420">
        <v>526896</v>
      </c>
      <c r="ET5" s="420">
        <v>9526</v>
      </c>
      <c r="EU5" s="420">
        <v>160</v>
      </c>
      <c r="EV5" s="420">
        <v>580</v>
      </c>
      <c r="EW5" s="420">
        <v>0</v>
      </c>
      <c r="EX5" s="420">
        <v>0</v>
      </c>
      <c r="EY5" s="420">
        <v>29262</v>
      </c>
      <c r="EZ5" s="420">
        <v>2231</v>
      </c>
      <c r="FA5" s="420">
        <v>25253</v>
      </c>
      <c r="FB5" s="420">
        <v>437483</v>
      </c>
      <c r="FC5" s="420">
        <v>5145</v>
      </c>
      <c r="FD5" s="420">
        <v>20262</v>
      </c>
      <c r="FE5" s="420">
        <v>34</v>
      </c>
      <c r="FF5" s="420">
        <v>7423</v>
      </c>
      <c r="FG5" s="420">
        <v>17989</v>
      </c>
      <c r="FH5" s="420">
        <v>0</v>
      </c>
      <c r="FI5" s="420">
        <v>451</v>
      </c>
      <c r="FJ5" s="420">
        <v>8955</v>
      </c>
      <c r="FK5" s="421">
        <v>5590056</v>
      </c>
    </row>
    <row r="6" spans="1:167" x14ac:dyDescent="0.35">
      <c r="A6" s="408" t="s">
        <v>720</v>
      </c>
      <c r="B6" s="417">
        <f t="shared" si="0"/>
        <v>1771428</v>
      </c>
      <c r="C6" s="417">
        <f t="shared" si="0"/>
        <v>53969</v>
      </c>
      <c r="D6" s="417">
        <f t="shared" si="0"/>
        <v>40488</v>
      </c>
      <c r="E6" s="417">
        <f t="shared" si="0"/>
        <v>24034</v>
      </c>
      <c r="F6" s="417">
        <f t="shared" si="0"/>
        <v>33610</v>
      </c>
      <c r="G6" s="417">
        <f t="shared" si="0"/>
        <v>48175</v>
      </c>
      <c r="H6" s="417">
        <f t="shared" si="0"/>
        <v>145726</v>
      </c>
      <c r="I6" s="417">
        <f t="shared" si="0"/>
        <v>37733</v>
      </c>
      <c r="J6" s="417">
        <f t="shared" si="0"/>
        <v>15795</v>
      </c>
      <c r="K6" s="417">
        <f t="shared" si="0"/>
        <v>45544</v>
      </c>
      <c r="L6" s="417">
        <f t="shared" si="1"/>
        <v>51268</v>
      </c>
      <c r="M6" s="417">
        <f t="shared" si="1"/>
        <v>144908</v>
      </c>
      <c r="N6" s="417">
        <f t="shared" si="1"/>
        <v>15047</v>
      </c>
      <c r="O6" s="417">
        <f t="shared" si="1"/>
        <v>12477</v>
      </c>
      <c r="P6" s="417">
        <f t="shared" si="1"/>
        <v>208374</v>
      </c>
      <c r="Q6" s="417">
        <f t="shared" si="1"/>
        <v>61888</v>
      </c>
      <c r="R6" s="417">
        <f t="shared" si="1"/>
        <v>101741</v>
      </c>
      <c r="S6" s="417">
        <f t="shared" si="1"/>
        <v>704804</v>
      </c>
      <c r="T6" s="417">
        <f t="shared" si="1"/>
        <v>14615</v>
      </c>
      <c r="U6" s="417">
        <f t="shared" si="1"/>
        <v>65201</v>
      </c>
      <c r="V6" s="417">
        <f t="shared" si="2"/>
        <v>302809</v>
      </c>
      <c r="W6" s="417">
        <f t="shared" si="2"/>
        <v>34010</v>
      </c>
      <c r="X6" s="417">
        <f t="shared" si="2"/>
        <v>439043</v>
      </c>
      <c r="Y6" s="417">
        <f t="shared" si="2"/>
        <v>65924</v>
      </c>
      <c r="Z6" s="417">
        <f t="shared" si="2"/>
        <v>140652</v>
      </c>
      <c r="AA6" s="417">
        <f t="shared" si="2"/>
        <v>21149</v>
      </c>
      <c r="AB6" s="417">
        <f t="shared" si="2"/>
        <v>9351</v>
      </c>
      <c r="AC6" s="417">
        <f t="shared" si="2"/>
        <v>2624</v>
      </c>
      <c r="AD6" s="417">
        <f t="shared" si="2"/>
        <v>31580</v>
      </c>
      <c r="AE6" s="417">
        <f t="shared" si="2"/>
        <v>30262</v>
      </c>
      <c r="AF6" s="417">
        <f t="shared" si="3"/>
        <v>20743</v>
      </c>
      <c r="AG6" s="417">
        <f t="shared" si="3"/>
        <v>9142</v>
      </c>
      <c r="AH6" s="417">
        <f t="shared" si="3"/>
        <v>4357</v>
      </c>
      <c r="AI6" s="417">
        <f t="shared" si="3"/>
        <v>7660</v>
      </c>
      <c r="AJ6" s="417">
        <f t="shared" si="3"/>
        <v>6932</v>
      </c>
      <c r="AK6" s="417">
        <f t="shared" si="3"/>
        <v>1126238</v>
      </c>
      <c r="AL6" s="417">
        <f t="shared" si="3"/>
        <v>38926</v>
      </c>
      <c r="AM6" s="417">
        <f t="shared" si="3"/>
        <v>11107</v>
      </c>
      <c r="AN6" s="417">
        <f t="shared" si="3"/>
        <v>6135</v>
      </c>
      <c r="AO6" s="417">
        <f t="shared" si="3"/>
        <v>26067</v>
      </c>
      <c r="AP6" s="417">
        <f t="shared" si="4"/>
        <v>16667</v>
      </c>
      <c r="AQ6" s="417">
        <f t="shared" si="4"/>
        <v>53492</v>
      </c>
      <c r="AR6" s="417">
        <f t="shared" si="4"/>
        <v>25539</v>
      </c>
      <c r="AS6" s="417">
        <f t="shared" si="4"/>
        <v>69219</v>
      </c>
      <c r="AT6" s="417">
        <f t="shared" si="4"/>
        <v>305358</v>
      </c>
      <c r="AU6" s="417">
        <f t="shared" si="4"/>
        <v>24872</v>
      </c>
      <c r="AV6" s="417">
        <f t="shared" si="4"/>
        <v>21035</v>
      </c>
      <c r="AW6" s="417">
        <f t="shared" si="4"/>
        <v>1107</v>
      </c>
      <c r="AX6" s="417">
        <f t="shared" si="4"/>
        <v>2613</v>
      </c>
      <c r="AY6" s="417">
        <f t="shared" si="4"/>
        <v>21212</v>
      </c>
      <c r="AZ6" s="417">
        <f t="shared" si="5"/>
        <v>399</v>
      </c>
      <c r="BA6" s="417">
        <f t="shared" si="5"/>
        <v>1880</v>
      </c>
      <c r="BB6" s="417">
        <f t="shared" si="5"/>
        <v>13086</v>
      </c>
      <c r="BC6" s="417">
        <f t="shared" si="5"/>
        <v>3590349</v>
      </c>
      <c r="BD6" s="292"/>
      <c r="BE6" s="408" t="s">
        <v>720</v>
      </c>
      <c r="BF6" s="418">
        <v>871601</v>
      </c>
      <c r="BG6" s="418">
        <v>48654</v>
      </c>
      <c r="BH6" s="418">
        <v>33378</v>
      </c>
      <c r="BI6" s="418">
        <v>20300</v>
      </c>
      <c r="BJ6" s="418">
        <v>26880</v>
      </c>
      <c r="BK6" s="418">
        <v>43524</v>
      </c>
      <c r="BL6" s="418">
        <v>109327</v>
      </c>
      <c r="BM6" s="418">
        <v>27947</v>
      </c>
      <c r="BN6" s="418">
        <v>2818</v>
      </c>
      <c r="BO6" s="418">
        <v>20402</v>
      </c>
      <c r="BP6" s="418">
        <v>31222</v>
      </c>
      <c r="BQ6" s="418">
        <v>110205</v>
      </c>
      <c r="BR6" s="418">
        <v>12404</v>
      </c>
      <c r="BS6" s="418">
        <v>10008</v>
      </c>
      <c r="BT6" s="418">
        <v>155454</v>
      </c>
      <c r="BU6" s="418">
        <v>46794</v>
      </c>
      <c r="BV6" s="418">
        <v>77626</v>
      </c>
      <c r="BW6" s="418">
        <v>80253</v>
      </c>
      <c r="BX6" s="418">
        <v>11572</v>
      </c>
      <c r="BY6" s="418">
        <v>51487</v>
      </c>
      <c r="BZ6" s="418">
        <v>302809</v>
      </c>
      <c r="CA6" s="418">
        <v>33972</v>
      </c>
      <c r="CB6" s="418">
        <v>437796</v>
      </c>
      <c r="CC6" s="418">
        <v>62879</v>
      </c>
      <c r="CD6" s="418">
        <v>40220</v>
      </c>
      <c r="CE6" s="418">
        <v>19883</v>
      </c>
      <c r="CF6" s="418">
        <v>8800</v>
      </c>
      <c r="CG6" s="418">
        <v>1957</v>
      </c>
      <c r="CH6" s="418">
        <v>31580</v>
      </c>
      <c r="CI6" s="418">
        <v>29906</v>
      </c>
      <c r="CJ6" s="418">
        <v>20216</v>
      </c>
      <c r="CK6" s="418">
        <v>9142</v>
      </c>
      <c r="CL6" s="418">
        <v>4051</v>
      </c>
      <c r="CM6" s="418">
        <v>7660</v>
      </c>
      <c r="CN6" s="418">
        <v>6842</v>
      </c>
      <c r="CO6" s="418">
        <v>1017713</v>
      </c>
      <c r="CP6" s="418">
        <v>37278</v>
      </c>
      <c r="CQ6" s="418">
        <v>11080</v>
      </c>
      <c r="CR6" s="418">
        <v>6038</v>
      </c>
      <c r="CS6" s="418">
        <v>26067</v>
      </c>
      <c r="CT6" s="418">
        <v>16667</v>
      </c>
      <c r="CU6" s="418">
        <v>47873</v>
      </c>
      <c r="CV6" s="418">
        <v>24990</v>
      </c>
      <c r="CW6" s="418">
        <v>63982</v>
      </c>
      <c r="CX6" s="418">
        <v>216346</v>
      </c>
      <c r="CY6" s="418">
        <v>23935</v>
      </c>
      <c r="CZ6" s="418">
        <v>17298</v>
      </c>
      <c r="DA6" s="418">
        <v>1104</v>
      </c>
      <c r="DB6" s="418">
        <v>1115</v>
      </c>
      <c r="DC6" s="418">
        <v>17815</v>
      </c>
      <c r="DD6" s="418">
        <v>399</v>
      </c>
      <c r="DE6" s="418">
        <v>1785</v>
      </c>
      <c r="DF6" s="418">
        <v>11474</v>
      </c>
      <c r="DG6" s="418">
        <v>2463214</v>
      </c>
      <c r="DI6" s="419" t="s">
        <v>720</v>
      </c>
      <c r="DJ6" s="420">
        <v>899827</v>
      </c>
      <c r="DK6" s="420">
        <v>5315</v>
      </c>
      <c r="DL6" s="420">
        <v>7110</v>
      </c>
      <c r="DM6" s="420">
        <v>3734</v>
      </c>
      <c r="DN6" s="420">
        <v>6730</v>
      </c>
      <c r="DO6" s="420">
        <v>4651</v>
      </c>
      <c r="DP6" s="420">
        <v>36399</v>
      </c>
      <c r="DQ6" s="420">
        <v>9786</v>
      </c>
      <c r="DR6" s="420">
        <v>12977</v>
      </c>
      <c r="DS6" s="420">
        <v>25142</v>
      </c>
      <c r="DT6" s="420">
        <v>20046</v>
      </c>
      <c r="DU6" s="420">
        <v>34703</v>
      </c>
      <c r="DV6" s="420">
        <v>2643</v>
      </c>
      <c r="DW6" s="420">
        <v>2469</v>
      </c>
      <c r="DX6" s="420">
        <v>52920</v>
      </c>
      <c r="DY6" s="420">
        <v>15094</v>
      </c>
      <c r="DZ6" s="420">
        <v>24115</v>
      </c>
      <c r="EA6" s="420">
        <v>624551</v>
      </c>
      <c r="EB6" s="420">
        <v>3043</v>
      </c>
      <c r="EC6" s="420">
        <v>13714</v>
      </c>
      <c r="ED6" s="420">
        <v>0</v>
      </c>
      <c r="EE6" s="420">
        <v>38</v>
      </c>
      <c r="EF6" s="420">
        <v>1247</v>
      </c>
      <c r="EG6" s="420">
        <v>3045</v>
      </c>
      <c r="EH6" s="420">
        <v>100432</v>
      </c>
      <c r="EI6" s="420">
        <v>1266</v>
      </c>
      <c r="EJ6" s="420">
        <v>551</v>
      </c>
      <c r="EK6" s="420">
        <v>667</v>
      </c>
      <c r="EL6" s="420">
        <v>0</v>
      </c>
      <c r="EM6" s="420">
        <v>356</v>
      </c>
      <c r="EN6" s="420">
        <v>527</v>
      </c>
      <c r="EO6" s="420">
        <v>0</v>
      </c>
      <c r="EP6" s="420">
        <v>306</v>
      </c>
      <c r="EQ6" s="420">
        <v>0</v>
      </c>
      <c r="ER6" s="420">
        <v>90</v>
      </c>
      <c r="ES6" s="420">
        <v>108525</v>
      </c>
      <c r="ET6" s="420">
        <v>1648</v>
      </c>
      <c r="EU6" s="420">
        <v>27</v>
      </c>
      <c r="EV6" s="420">
        <v>97</v>
      </c>
      <c r="EW6" s="420">
        <v>0</v>
      </c>
      <c r="EX6" s="420">
        <v>0</v>
      </c>
      <c r="EY6" s="420">
        <v>5619</v>
      </c>
      <c r="EZ6" s="420">
        <v>549</v>
      </c>
      <c r="FA6" s="420">
        <v>5237</v>
      </c>
      <c r="FB6" s="420">
        <v>89012</v>
      </c>
      <c r="FC6" s="420">
        <v>937</v>
      </c>
      <c r="FD6" s="420">
        <v>3737</v>
      </c>
      <c r="FE6" s="420">
        <v>3</v>
      </c>
      <c r="FF6" s="420">
        <v>1498</v>
      </c>
      <c r="FG6" s="420">
        <v>3397</v>
      </c>
      <c r="FH6" s="420">
        <v>0</v>
      </c>
      <c r="FI6" s="420">
        <v>95</v>
      </c>
      <c r="FJ6" s="420">
        <v>1612</v>
      </c>
      <c r="FK6" s="421">
        <v>1127135</v>
      </c>
    </row>
    <row r="7" spans="1:167" x14ac:dyDescent="0.35">
      <c r="A7" s="408" t="s">
        <v>721</v>
      </c>
      <c r="B7" s="417">
        <f t="shared" si="0"/>
        <v>297027</v>
      </c>
      <c r="C7" s="417">
        <f t="shared" si="0"/>
        <v>5590</v>
      </c>
      <c r="D7" s="417">
        <f t="shared" si="0"/>
        <v>4608</v>
      </c>
      <c r="E7" s="417">
        <f t="shared" si="0"/>
        <v>4201</v>
      </c>
      <c r="F7" s="417">
        <f t="shared" si="0"/>
        <v>6273</v>
      </c>
      <c r="G7" s="417">
        <f t="shared" si="0"/>
        <v>7392</v>
      </c>
      <c r="H7" s="417">
        <f t="shared" si="0"/>
        <v>26265</v>
      </c>
      <c r="I7" s="417">
        <f t="shared" si="0"/>
        <v>5278</v>
      </c>
      <c r="J7" s="417">
        <f t="shared" si="0"/>
        <v>2562</v>
      </c>
      <c r="K7" s="417">
        <f t="shared" si="0"/>
        <v>8528</v>
      </c>
      <c r="L7" s="417">
        <f t="shared" si="1"/>
        <v>6976</v>
      </c>
      <c r="M7" s="417">
        <f t="shared" si="1"/>
        <v>25396</v>
      </c>
      <c r="N7" s="417">
        <f t="shared" si="1"/>
        <v>3248</v>
      </c>
      <c r="O7" s="417">
        <f t="shared" si="1"/>
        <v>2106</v>
      </c>
      <c r="P7" s="417">
        <f t="shared" si="1"/>
        <v>34343</v>
      </c>
      <c r="Q7" s="417">
        <f t="shared" si="1"/>
        <v>11223</v>
      </c>
      <c r="R7" s="417">
        <f t="shared" si="1"/>
        <v>16128</v>
      </c>
      <c r="S7" s="417">
        <f t="shared" si="1"/>
        <v>121747</v>
      </c>
      <c r="T7" s="417">
        <f t="shared" si="1"/>
        <v>2458</v>
      </c>
      <c r="U7" s="417">
        <f t="shared" si="1"/>
        <v>8295</v>
      </c>
      <c r="V7" s="417">
        <f t="shared" si="2"/>
        <v>51568</v>
      </c>
      <c r="W7" s="417">
        <f t="shared" si="2"/>
        <v>6788</v>
      </c>
      <c r="X7" s="417">
        <f t="shared" si="2"/>
        <v>88899</v>
      </c>
      <c r="Y7" s="417">
        <f t="shared" si="2"/>
        <v>13787</v>
      </c>
      <c r="Z7" s="417">
        <f t="shared" si="2"/>
        <v>23578</v>
      </c>
      <c r="AA7" s="417">
        <f t="shared" si="2"/>
        <v>3543</v>
      </c>
      <c r="AB7" s="417">
        <f t="shared" si="2"/>
        <v>1728</v>
      </c>
      <c r="AC7" s="417">
        <f t="shared" si="2"/>
        <v>252</v>
      </c>
      <c r="AD7" s="417">
        <f t="shared" si="2"/>
        <v>5062</v>
      </c>
      <c r="AE7" s="417">
        <f t="shared" si="2"/>
        <v>5290</v>
      </c>
      <c r="AF7" s="417">
        <f t="shared" si="3"/>
        <v>3891</v>
      </c>
      <c r="AG7" s="417">
        <f t="shared" si="3"/>
        <v>1636</v>
      </c>
      <c r="AH7" s="417">
        <f t="shared" si="3"/>
        <v>764</v>
      </c>
      <c r="AI7" s="417">
        <f t="shared" si="3"/>
        <v>1348</v>
      </c>
      <c r="AJ7" s="417">
        <f t="shared" si="3"/>
        <v>1185</v>
      </c>
      <c r="AK7" s="417">
        <f t="shared" si="3"/>
        <v>209319</v>
      </c>
      <c r="AL7" s="417">
        <f t="shared" si="3"/>
        <v>5665</v>
      </c>
      <c r="AM7" s="417">
        <f t="shared" si="3"/>
        <v>1732</v>
      </c>
      <c r="AN7" s="417">
        <f t="shared" si="3"/>
        <v>1126</v>
      </c>
      <c r="AO7" s="417">
        <f t="shared" si="3"/>
        <v>4171</v>
      </c>
      <c r="AP7" s="417">
        <f t="shared" si="4"/>
        <v>3167</v>
      </c>
      <c r="AQ7" s="417">
        <f t="shared" si="4"/>
        <v>9355</v>
      </c>
      <c r="AR7" s="417">
        <f t="shared" si="4"/>
        <v>6427</v>
      </c>
      <c r="AS7" s="417">
        <f t="shared" si="4"/>
        <v>10118</v>
      </c>
      <c r="AT7" s="417">
        <f t="shared" si="4"/>
        <v>44460</v>
      </c>
      <c r="AU7" s="417">
        <f t="shared" si="4"/>
        <v>4419</v>
      </c>
      <c r="AV7" s="417">
        <f t="shared" si="4"/>
        <v>3745</v>
      </c>
      <c r="AW7" s="417">
        <f t="shared" si="4"/>
        <v>43</v>
      </c>
      <c r="AX7" s="417">
        <f t="shared" si="4"/>
        <v>499</v>
      </c>
      <c r="AY7" s="417">
        <f t="shared" si="4"/>
        <v>3739</v>
      </c>
      <c r="AZ7" s="417">
        <f t="shared" si="5"/>
        <v>55</v>
      </c>
      <c r="BA7" s="417">
        <f t="shared" si="5"/>
        <v>264</v>
      </c>
      <c r="BB7" s="417">
        <f t="shared" si="5"/>
        <v>2191</v>
      </c>
      <c r="BC7" s="417">
        <f t="shared" si="5"/>
        <v>613112</v>
      </c>
      <c r="BD7" s="292"/>
      <c r="BE7" s="408" t="s">
        <v>721</v>
      </c>
      <c r="BF7" s="418">
        <v>133037</v>
      </c>
      <c r="BG7" s="418">
        <v>5053</v>
      </c>
      <c r="BH7" s="418">
        <v>3686</v>
      </c>
      <c r="BI7" s="418">
        <v>3439</v>
      </c>
      <c r="BJ7" s="418">
        <v>4965</v>
      </c>
      <c r="BK7" s="418">
        <v>6642</v>
      </c>
      <c r="BL7" s="418">
        <v>18913</v>
      </c>
      <c r="BM7" s="418">
        <v>3787</v>
      </c>
      <c r="BN7" s="418">
        <v>202</v>
      </c>
      <c r="BO7" s="418">
        <v>3646</v>
      </c>
      <c r="BP7" s="418">
        <v>3525</v>
      </c>
      <c r="BQ7" s="418">
        <v>18670</v>
      </c>
      <c r="BR7" s="418">
        <v>2649</v>
      </c>
      <c r="BS7" s="418">
        <v>1681</v>
      </c>
      <c r="BT7" s="418">
        <v>24527</v>
      </c>
      <c r="BU7" s="418">
        <v>8340</v>
      </c>
      <c r="BV7" s="418">
        <v>11839</v>
      </c>
      <c r="BW7" s="418">
        <v>8520</v>
      </c>
      <c r="BX7" s="418">
        <v>1891</v>
      </c>
      <c r="BY7" s="418">
        <v>6115</v>
      </c>
      <c r="BZ7" s="418">
        <v>51568</v>
      </c>
      <c r="CA7" s="418">
        <v>6781</v>
      </c>
      <c r="CB7" s="418">
        <v>88645</v>
      </c>
      <c r="CC7" s="418">
        <v>13160</v>
      </c>
      <c r="CD7" s="418">
        <v>6457</v>
      </c>
      <c r="CE7" s="418">
        <v>3261</v>
      </c>
      <c r="CF7" s="418">
        <v>1638</v>
      </c>
      <c r="CG7" s="418">
        <v>164</v>
      </c>
      <c r="CH7" s="418">
        <v>5062</v>
      </c>
      <c r="CI7" s="418">
        <v>5205</v>
      </c>
      <c r="CJ7" s="418">
        <v>3767</v>
      </c>
      <c r="CK7" s="418">
        <v>1636</v>
      </c>
      <c r="CL7" s="418">
        <v>701</v>
      </c>
      <c r="CM7" s="418">
        <v>1348</v>
      </c>
      <c r="CN7" s="418">
        <v>1171</v>
      </c>
      <c r="CO7" s="418">
        <v>190564</v>
      </c>
      <c r="CP7" s="418">
        <v>5421</v>
      </c>
      <c r="CQ7" s="418">
        <v>1726</v>
      </c>
      <c r="CR7" s="418">
        <v>1106</v>
      </c>
      <c r="CS7" s="418">
        <v>4171</v>
      </c>
      <c r="CT7" s="418">
        <v>3167</v>
      </c>
      <c r="CU7" s="418">
        <v>8314</v>
      </c>
      <c r="CV7" s="418">
        <v>6353</v>
      </c>
      <c r="CW7" s="418">
        <v>9260</v>
      </c>
      <c r="CX7" s="418">
        <v>27973</v>
      </c>
      <c r="CY7" s="418">
        <v>4284</v>
      </c>
      <c r="CZ7" s="418">
        <v>2887</v>
      </c>
      <c r="DA7" s="418">
        <v>42</v>
      </c>
      <c r="DB7" s="418">
        <v>165</v>
      </c>
      <c r="DC7" s="418">
        <v>3079</v>
      </c>
      <c r="DD7" s="418">
        <v>55</v>
      </c>
      <c r="DE7" s="418">
        <v>253</v>
      </c>
      <c r="DF7" s="418">
        <v>1921</v>
      </c>
      <c r="DG7" s="418">
        <v>408831</v>
      </c>
      <c r="DI7" s="419" t="s">
        <v>721</v>
      </c>
      <c r="DJ7" s="420">
        <v>163990</v>
      </c>
      <c r="DK7" s="420">
        <v>537</v>
      </c>
      <c r="DL7" s="420">
        <v>922</v>
      </c>
      <c r="DM7" s="420">
        <v>762</v>
      </c>
      <c r="DN7" s="420">
        <v>1308</v>
      </c>
      <c r="DO7" s="420">
        <v>750</v>
      </c>
      <c r="DP7" s="420">
        <v>7352</v>
      </c>
      <c r="DQ7" s="420">
        <v>1491</v>
      </c>
      <c r="DR7" s="420">
        <v>2360</v>
      </c>
      <c r="DS7" s="420">
        <v>4882</v>
      </c>
      <c r="DT7" s="420">
        <v>3451</v>
      </c>
      <c r="DU7" s="420">
        <v>6726</v>
      </c>
      <c r="DV7" s="420">
        <v>599</v>
      </c>
      <c r="DW7" s="420">
        <v>425</v>
      </c>
      <c r="DX7" s="420">
        <v>9816</v>
      </c>
      <c r="DY7" s="420">
        <v>2883</v>
      </c>
      <c r="DZ7" s="420">
        <v>4289</v>
      </c>
      <c r="EA7" s="420">
        <v>113227</v>
      </c>
      <c r="EB7" s="420">
        <v>567</v>
      </c>
      <c r="EC7" s="420">
        <v>2180</v>
      </c>
      <c r="ED7" s="420">
        <v>0</v>
      </c>
      <c r="EE7" s="420">
        <v>7</v>
      </c>
      <c r="EF7" s="420">
        <v>254</v>
      </c>
      <c r="EG7" s="420">
        <v>627</v>
      </c>
      <c r="EH7" s="420">
        <v>17121</v>
      </c>
      <c r="EI7" s="420">
        <v>282</v>
      </c>
      <c r="EJ7" s="420">
        <v>90</v>
      </c>
      <c r="EK7" s="420">
        <v>88</v>
      </c>
      <c r="EL7" s="420">
        <v>0</v>
      </c>
      <c r="EM7" s="420">
        <v>85</v>
      </c>
      <c r="EN7" s="420">
        <v>124</v>
      </c>
      <c r="EO7" s="420">
        <v>0</v>
      </c>
      <c r="EP7" s="420">
        <v>63</v>
      </c>
      <c r="EQ7" s="420">
        <v>0</v>
      </c>
      <c r="ER7" s="420">
        <v>14</v>
      </c>
      <c r="ES7" s="420">
        <v>18755</v>
      </c>
      <c r="ET7" s="420">
        <v>244</v>
      </c>
      <c r="EU7" s="420">
        <v>6</v>
      </c>
      <c r="EV7" s="420">
        <v>20</v>
      </c>
      <c r="EW7" s="420">
        <v>0</v>
      </c>
      <c r="EX7" s="420">
        <v>0</v>
      </c>
      <c r="EY7" s="420">
        <v>1041</v>
      </c>
      <c r="EZ7" s="420">
        <v>74</v>
      </c>
      <c r="FA7" s="420">
        <v>858</v>
      </c>
      <c r="FB7" s="420">
        <v>16487</v>
      </c>
      <c r="FC7" s="420">
        <v>135</v>
      </c>
      <c r="FD7" s="420">
        <v>858</v>
      </c>
      <c r="FE7" s="420">
        <v>1</v>
      </c>
      <c r="FF7" s="420">
        <v>334</v>
      </c>
      <c r="FG7" s="420">
        <v>660</v>
      </c>
      <c r="FH7" s="420">
        <v>0</v>
      </c>
      <c r="FI7" s="420">
        <v>11</v>
      </c>
      <c r="FJ7" s="420">
        <v>270</v>
      </c>
      <c r="FK7" s="421">
        <v>204281</v>
      </c>
    </row>
    <row r="8" spans="1:167" x14ac:dyDescent="0.35">
      <c r="A8" s="408" t="s">
        <v>722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292"/>
      <c r="BE8" s="408" t="s">
        <v>722</v>
      </c>
      <c r="BF8" s="422" t="s">
        <v>723</v>
      </c>
      <c r="BG8" s="422" t="s">
        <v>723</v>
      </c>
      <c r="BH8" s="422" t="s">
        <v>723</v>
      </c>
      <c r="BI8" s="422" t="s">
        <v>723</v>
      </c>
      <c r="BJ8" s="422" t="s">
        <v>723</v>
      </c>
      <c r="BK8" s="422" t="s">
        <v>723</v>
      </c>
      <c r="BL8" s="422" t="s">
        <v>723</v>
      </c>
      <c r="BM8" s="422" t="s">
        <v>723</v>
      </c>
      <c r="BN8" s="422" t="s">
        <v>723</v>
      </c>
      <c r="BO8" s="422" t="s">
        <v>723</v>
      </c>
      <c r="BP8" s="422" t="s">
        <v>723</v>
      </c>
      <c r="BQ8" s="422" t="s">
        <v>723</v>
      </c>
      <c r="BR8" s="422" t="s">
        <v>723</v>
      </c>
      <c r="BS8" s="422" t="s">
        <v>723</v>
      </c>
      <c r="BT8" s="422" t="s">
        <v>723</v>
      </c>
      <c r="BU8" s="422" t="s">
        <v>723</v>
      </c>
      <c r="BV8" s="422" t="s">
        <v>723</v>
      </c>
      <c r="BW8" s="422" t="s">
        <v>723</v>
      </c>
      <c r="BX8" s="422" t="s">
        <v>723</v>
      </c>
      <c r="BY8" s="422" t="s">
        <v>723</v>
      </c>
      <c r="BZ8" s="422" t="s">
        <v>723</v>
      </c>
      <c r="CA8" s="422" t="s">
        <v>723</v>
      </c>
      <c r="CB8" s="422" t="s">
        <v>723</v>
      </c>
      <c r="CC8" s="422" t="s">
        <v>723</v>
      </c>
      <c r="CD8" s="422" t="s">
        <v>723</v>
      </c>
      <c r="CE8" s="422" t="s">
        <v>723</v>
      </c>
      <c r="CF8" s="422" t="s">
        <v>723</v>
      </c>
      <c r="CG8" s="422" t="s">
        <v>723</v>
      </c>
      <c r="CH8" s="422" t="s">
        <v>723</v>
      </c>
      <c r="CI8" s="422" t="s">
        <v>723</v>
      </c>
      <c r="CJ8" s="422" t="s">
        <v>723</v>
      </c>
      <c r="CK8" s="422" t="s">
        <v>723</v>
      </c>
      <c r="CL8" s="422" t="s">
        <v>723</v>
      </c>
      <c r="CM8" s="422" t="s">
        <v>723</v>
      </c>
      <c r="CN8" s="422" t="s">
        <v>723</v>
      </c>
      <c r="CO8" s="422" t="s">
        <v>723</v>
      </c>
      <c r="CP8" s="422" t="s">
        <v>723</v>
      </c>
      <c r="CQ8" s="422" t="s">
        <v>723</v>
      </c>
      <c r="CR8" s="422" t="s">
        <v>723</v>
      </c>
      <c r="CS8" s="422" t="s">
        <v>723</v>
      </c>
      <c r="CT8" s="422" t="s">
        <v>723</v>
      </c>
      <c r="CU8" s="422" t="s">
        <v>723</v>
      </c>
      <c r="CV8" s="422" t="s">
        <v>723</v>
      </c>
      <c r="CW8" s="422" t="s">
        <v>723</v>
      </c>
      <c r="CX8" s="422" t="s">
        <v>723</v>
      </c>
      <c r="CY8" s="422" t="s">
        <v>723</v>
      </c>
      <c r="CZ8" s="422" t="s">
        <v>723</v>
      </c>
      <c r="DA8" s="422" t="s">
        <v>723</v>
      </c>
      <c r="DB8" s="422" t="s">
        <v>723</v>
      </c>
      <c r="DC8" s="422" t="s">
        <v>723</v>
      </c>
      <c r="DD8" s="422" t="s">
        <v>723</v>
      </c>
      <c r="DE8" s="422" t="s">
        <v>723</v>
      </c>
      <c r="DF8" s="422" t="s">
        <v>723</v>
      </c>
      <c r="DG8" s="422" t="s">
        <v>723</v>
      </c>
      <c r="DI8" s="419" t="s">
        <v>722</v>
      </c>
      <c r="DJ8" s="423" t="s">
        <v>723</v>
      </c>
      <c r="DK8" s="423" t="s">
        <v>723</v>
      </c>
      <c r="DL8" s="423" t="s">
        <v>723</v>
      </c>
      <c r="DM8" s="423" t="s">
        <v>723</v>
      </c>
      <c r="DN8" s="423" t="s">
        <v>723</v>
      </c>
      <c r="DO8" s="423" t="s">
        <v>723</v>
      </c>
      <c r="DP8" s="423" t="s">
        <v>723</v>
      </c>
      <c r="DQ8" s="423" t="s">
        <v>723</v>
      </c>
      <c r="DR8" s="423" t="s">
        <v>723</v>
      </c>
      <c r="DS8" s="423" t="s">
        <v>723</v>
      </c>
      <c r="DT8" s="423" t="s">
        <v>723</v>
      </c>
      <c r="DU8" s="423" t="s">
        <v>723</v>
      </c>
      <c r="DV8" s="423" t="s">
        <v>723</v>
      </c>
      <c r="DW8" s="423" t="s">
        <v>723</v>
      </c>
      <c r="DX8" s="423" t="s">
        <v>723</v>
      </c>
      <c r="DY8" s="423" t="s">
        <v>723</v>
      </c>
      <c r="DZ8" s="423" t="s">
        <v>723</v>
      </c>
      <c r="EA8" s="423" t="s">
        <v>723</v>
      </c>
      <c r="EB8" s="423" t="s">
        <v>723</v>
      </c>
      <c r="EC8" s="423" t="s">
        <v>723</v>
      </c>
      <c r="ED8" s="423" t="s">
        <v>723</v>
      </c>
      <c r="EE8" s="423" t="s">
        <v>723</v>
      </c>
      <c r="EF8" s="423" t="s">
        <v>723</v>
      </c>
      <c r="EG8" s="423" t="s">
        <v>723</v>
      </c>
      <c r="EH8" s="423" t="s">
        <v>723</v>
      </c>
      <c r="EI8" s="423" t="s">
        <v>723</v>
      </c>
      <c r="EJ8" s="423" t="s">
        <v>723</v>
      </c>
      <c r="EK8" s="423" t="s">
        <v>723</v>
      </c>
      <c r="EL8" s="423" t="s">
        <v>723</v>
      </c>
      <c r="EM8" s="423" t="s">
        <v>723</v>
      </c>
      <c r="EN8" s="423" t="s">
        <v>723</v>
      </c>
      <c r="EO8" s="423" t="s">
        <v>723</v>
      </c>
      <c r="EP8" s="423" t="s">
        <v>723</v>
      </c>
      <c r="EQ8" s="423" t="s">
        <v>723</v>
      </c>
      <c r="ER8" s="423" t="s">
        <v>723</v>
      </c>
      <c r="ES8" s="423" t="s">
        <v>723</v>
      </c>
      <c r="ET8" s="423" t="s">
        <v>723</v>
      </c>
      <c r="EU8" s="423" t="s">
        <v>723</v>
      </c>
      <c r="EV8" s="423" t="s">
        <v>723</v>
      </c>
      <c r="EW8" s="423" t="s">
        <v>723</v>
      </c>
      <c r="EX8" s="423" t="s">
        <v>723</v>
      </c>
      <c r="EY8" s="423" t="s">
        <v>723</v>
      </c>
      <c r="EZ8" s="423" t="s">
        <v>723</v>
      </c>
      <c r="FA8" s="423" t="s">
        <v>723</v>
      </c>
      <c r="FB8" s="423" t="s">
        <v>723</v>
      </c>
      <c r="FC8" s="423" t="s">
        <v>723</v>
      </c>
      <c r="FD8" s="423" t="s">
        <v>723</v>
      </c>
      <c r="FE8" s="423" t="s">
        <v>723</v>
      </c>
      <c r="FF8" s="423" t="s">
        <v>723</v>
      </c>
      <c r="FG8" s="423" t="s">
        <v>723</v>
      </c>
      <c r="FH8" s="423" t="s">
        <v>723</v>
      </c>
      <c r="FI8" s="423" t="s">
        <v>723</v>
      </c>
      <c r="FJ8" s="423" t="s">
        <v>723</v>
      </c>
      <c r="FK8" s="424" t="s">
        <v>723</v>
      </c>
    </row>
    <row r="9" spans="1:167" x14ac:dyDescent="0.35">
      <c r="A9" s="408" t="s">
        <v>724</v>
      </c>
      <c r="B9" s="417">
        <f t="shared" ref="B9:B23" si="6">BF9+DJ9</f>
        <v>64509</v>
      </c>
      <c r="C9" s="417">
        <f t="shared" ref="C9:C23" si="7">BG9+DK9</f>
        <v>0</v>
      </c>
      <c r="D9" s="417">
        <f t="shared" ref="D9:D23" si="8">BH9+DL9</f>
        <v>15769</v>
      </c>
      <c r="E9" s="417">
        <f t="shared" ref="E9:E23" si="9">BI9+DM9</f>
        <v>315</v>
      </c>
      <c r="F9" s="417">
        <f t="shared" ref="F9:F23" si="10">BJ9+DN9</f>
        <v>52</v>
      </c>
      <c r="G9" s="417">
        <f t="shared" ref="G9:G23" si="11">BK9+DO9</f>
        <v>0</v>
      </c>
      <c r="H9" s="417">
        <f t="shared" ref="H9:H23" si="12">BL9+DP9</f>
        <v>9</v>
      </c>
      <c r="I9" s="417">
        <f t="shared" ref="I9:I23" si="13">BM9+DQ9</f>
        <v>2</v>
      </c>
      <c r="J9" s="417">
        <f t="shared" ref="J9:J23" si="14">BN9+DR9</f>
        <v>4</v>
      </c>
      <c r="K9" s="417">
        <f t="shared" ref="K9:K23" si="15">BO9+DS9</f>
        <v>102</v>
      </c>
      <c r="L9" s="417">
        <f t="shared" ref="L9:L23" si="16">BP9+DT9</f>
        <v>228</v>
      </c>
      <c r="M9" s="417">
        <f t="shared" ref="M9:M23" si="17">BQ9+DU9</f>
        <v>27</v>
      </c>
      <c r="N9" s="417">
        <f t="shared" ref="N9:N23" si="18">BR9+DV9</f>
        <v>65</v>
      </c>
      <c r="O9" s="417">
        <f t="shared" ref="O9:O23" si="19">BS9+DW9</f>
        <v>0</v>
      </c>
      <c r="P9" s="417">
        <f t="shared" ref="P9:P23" si="20">BT9+DX9</f>
        <v>402</v>
      </c>
      <c r="Q9" s="417">
        <f t="shared" ref="Q9:Q23" si="21">BU9+DY9</f>
        <v>4</v>
      </c>
      <c r="R9" s="417">
        <f t="shared" ref="R9:R23" si="22">BV9+DZ9</f>
        <v>19</v>
      </c>
      <c r="S9" s="417">
        <f t="shared" ref="S9:S23" si="23">BW9+EA9</f>
        <v>47381</v>
      </c>
      <c r="T9" s="417">
        <f t="shared" ref="T9:T23" si="24">BX9+EB9</f>
        <v>0</v>
      </c>
      <c r="U9" s="417">
        <f t="shared" ref="U9:U23" si="25">BY9+EC9</f>
        <v>130</v>
      </c>
      <c r="V9" s="417">
        <f t="shared" ref="V9:V23" si="26">BZ9+ED9</f>
        <v>5</v>
      </c>
      <c r="W9" s="417">
        <f t="shared" ref="W9:W23" si="27">CA9+EE9</f>
        <v>383</v>
      </c>
      <c r="X9" s="417">
        <f t="shared" ref="X9:X23" si="28">CB9+EF9</f>
        <v>62978</v>
      </c>
      <c r="Y9" s="417">
        <f t="shared" ref="Y9:Y23" si="29">CC9+EG9</f>
        <v>25</v>
      </c>
      <c r="Z9" s="417">
        <f t="shared" ref="Z9:Z23" si="30">CD9+EH9</f>
        <v>5</v>
      </c>
      <c r="AA9" s="417">
        <f t="shared" ref="AA9:AA23" si="31">CE9+EI9</f>
        <v>2</v>
      </c>
      <c r="AB9" s="417">
        <f t="shared" ref="AB9:AB23" si="32">CF9+EJ9</f>
        <v>0</v>
      </c>
      <c r="AC9" s="417">
        <f t="shared" ref="AC9:AC23" si="33">CG9+EK9</f>
        <v>9</v>
      </c>
      <c r="AD9" s="417">
        <f t="shared" ref="AD9:AD23" si="34">CH9+EL9</f>
        <v>0</v>
      </c>
      <c r="AE9" s="417">
        <f t="shared" ref="AE9:AE23" si="35">CI9+EM9</f>
        <v>1</v>
      </c>
      <c r="AF9" s="417">
        <f t="shared" ref="AF9:AF23" si="36">CJ9+EN9</f>
        <v>2</v>
      </c>
      <c r="AG9" s="417">
        <f t="shared" ref="AG9:AG23" si="37">CK9+EO9</f>
        <v>0</v>
      </c>
      <c r="AH9" s="417">
        <f t="shared" ref="AH9:AH23" si="38">CL9+EP9</f>
        <v>0</v>
      </c>
      <c r="AI9" s="417">
        <f t="shared" ref="AI9:AI23" si="39">CM9+EQ9</f>
        <v>0</v>
      </c>
      <c r="AJ9" s="417">
        <f t="shared" ref="AJ9:AJ23" si="40">CN9+ER9</f>
        <v>0</v>
      </c>
      <c r="AK9" s="417">
        <f t="shared" ref="AK9:AK23" si="41">CO9+ES9</f>
        <v>63410</v>
      </c>
      <c r="AL9" s="417">
        <f t="shared" ref="AL9:AL23" si="42">CP9+ET9</f>
        <v>0</v>
      </c>
      <c r="AM9" s="417">
        <f t="shared" ref="AM9:AM23" si="43">CQ9+EU9</f>
        <v>0</v>
      </c>
      <c r="AN9" s="417">
        <f t="shared" ref="AN9:AN23" si="44">CR9+EV9</f>
        <v>0</v>
      </c>
      <c r="AO9" s="417">
        <f t="shared" ref="AO9:AO23" si="45">CS9+EW9</f>
        <v>0</v>
      </c>
      <c r="AP9" s="417">
        <f t="shared" ref="AP9:AP23" si="46">CT9+EX9</f>
        <v>0</v>
      </c>
      <c r="AQ9" s="417">
        <f t="shared" ref="AQ9:AQ23" si="47">CU9+EY9</f>
        <v>0</v>
      </c>
      <c r="AR9" s="417">
        <f t="shared" ref="AR9:AR23" si="48">CV9+EZ9</f>
        <v>0</v>
      </c>
      <c r="AS9" s="417">
        <f t="shared" ref="AS9:AS23" si="49">CW9+FA9</f>
        <v>0</v>
      </c>
      <c r="AT9" s="417">
        <f t="shared" ref="AT9:AT23" si="50">CX9+FB9</f>
        <v>0</v>
      </c>
      <c r="AU9" s="417">
        <f t="shared" ref="AU9:AU23" si="51">CY9+FC9</f>
        <v>0</v>
      </c>
      <c r="AV9" s="417">
        <f t="shared" ref="AV9:AV23" si="52">CZ9+FD9</f>
        <v>0</v>
      </c>
      <c r="AW9" s="417">
        <f t="shared" ref="AW9:AW23" si="53">DA9+FE9</f>
        <v>0</v>
      </c>
      <c r="AX9" s="417">
        <f t="shared" ref="AX9:AX23" si="54">DB9+FF9</f>
        <v>0</v>
      </c>
      <c r="AY9" s="417">
        <f t="shared" ref="AY9:AY23" si="55">DC9+FG9</f>
        <v>0</v>
      </c>
      <c r="AZ9" s="417">
        <f t="shared" ref="AZ9:AZ23" si="56">DD9+FH9</f>
        <v>0</v>
      </c>
      <c r="BA9" s="417">
        <f t="shared" ref="BA9:BA23" si="57">DE9+FI9</f>
        <v>0</v>
      </c>
      <c r="BB9" s="417">
        <f t="shared" ref="BB9:BB23" si="58">DF9+FJ9</f>
        <v>12</v>
      </c>
      <c r="BC9" s="417">
        <f t="shared" ref="BC9:BC23" si="59">DG9+FK9</f>
        <v>127931</v>
      </c>
      <c r="BD9" s="292"/>
      <c r="BE9" s="408" t="s">
        <v>724</v>
      </c>
      <c r="BF9" s="418">
        <v>15171</v>
      </c>
      <c r="BG9" s="418">
        <v>0</v>
      </c>
      <c r="BH9" s="418">
        <v>12999</v>
      </c>
      <c r="BI9" s="418">
        <v>200</v>
      </c>
      <c r="BJ9" s="418">
        <v>51</v>
      </c>
      <c r="BK9" s="418">
        <v>0</v>
      </c>
      <c r="BL9" s="418">
        <v>9</v>
      </c>
      <c r="BM9" s="418">
        <v>2</v>
      </c>
      <c r="BN9" s="418">
        <v>4</v>
      </c>
      <c r="BO9" s="418">
        <v>93</v>
      </c>
      <c r="BP9" s="418">
        <v>202</v>
      </c>
      <c r="BQ9" s="418">
        <v>27</v>
      </c>
      <c r="BR9" s="418">
        <v>65</v>
      </c>
      <c r="BS9" s="418">
        <v>0</v>
      </c>
      <c r="BT9" s="418">
        <v>348</v>
      </c>
      <c r="BU9" s="418">
        <v>4</v>
      </c>
      <c r="BV9" s="418">
        <v>19</v>
      </c>
      <c r="BW9" s="418">
        <v>1018</v>
      </c>
      <c r="BX9" s="418">
        <v>0</v>
      </c>
      <c r="BY9" s="418">
        <v>130</v>
      </c>
      <c r="BZ9" s="418">
        <v>5</v>
      </c>
      <c r="CA9" s="418">
        <v>383</v>
      </c>
      <c r="CB9" s="418">
        <v>62978</v>
      </c>
      <c r="CC9" s="418">
        <v>25</v>
      </c>
      <c r="CD9" s="418">
        <v>2</v>
      </c>
      <c r="CE9" s="418">
        <v>2</v>
      </c>
      <c r="CF9" s="418">
        <v>0</v>
      </c>
      <c r="CG9" s="418">
        <v>9</v>
      </c>
      <c r="CH9" s="418">
        <v>0</v>
      </c>
      <c r="CI9" s="418">
        <v>1</v>
      </c>
      <c r="CJ9" s="418">
        <v>2</v>
      </c>
      <c r="CK9" s="418">
        <v>0</v>
      </c>
      <c r="CL9" s="418">
        <v>0</v>
      </c>
      <c r="CM9" s="418">
        <v>0</v>
      </c>
      <c r="CN9" s="418">
        <v>0</v>
      </c>
      <c r="CO9" s="418">
        <v>63407</v>
      </c>
      <c r="CP9" s="418">
        <v>0</v>
      </c>
      <c r="CQ9" s="418">
        <v>0</v>
      </c>
      <c r="CR9" s="418">
        <v>0</v>
      </c>
      <c r="CS9" s="418">
        <v>0</v>
      </c>
      <c r="CT9" s="418">
        <v>0</v>
      </c>
      <c r="CU9" s="418">
        <v>0</v>
      </c>
      <c r="CV9" s="418">
        <v>0</v>
      </c>
      <c r="CW9" s="418">
        <v>0</v>
      </c>
      <c r="CX9" s="418">
        <v>0</v>
      </c>
      <c r="CY9" s="418">
        <v>0</v>
      </c>
      <c r="CZ9" s="418">
        <v>0</v>
      </c>
      <c r="DA9" s="418">
        <v>0</v>
      </c>
      <c r="DB9" s="418">
        <v>0</v>
      </c>
      <c r="DC9" s="418">
        <v>0</v>
      </c>
      <c r="DD9" s="418">
        <v>0</v>
      </c>
      <c r="DE9" s="418">
        <v>0</v>
      </c>
      <c r="DF9" s="418">
        <v>12</v>
      </c>
      <c r="DG9" s="418">
        <v>78590</v>
      </c>
      <c r="DI9" s="419" t="s">
        <v>724</v>
      </c>
      <c r="DJ9" s="420">
        <v>49338</v>
      </c>
      <c r="DK9" s="420">
        <v>0</v>
      </c>
      <c r="DL9" s="420">
        <v>2770</v>
      </c>
      <c r="DM9" s="420">
        <v>115</v>
      </c>
      <c r="DN9" s="420">
        <v>1</v>
      </c>
      <c r="DO9" s="420">
        <v>0</v>
      </c>
      <c r="DP9" s="420">
        <v>0</v>
      </c>
      <c r="DQ9" s="420">
        <v>0</v>
      </c>
      <c r="DR9" s="420">
        <v>0</v>
      </c>
      <c r="DS9" s="420">
        <v>9</v>
      </c>
      <c r="DT9" s="420">
        <v>26</v>
      </c>
      <c r="DU9" s="420">
        <v>0</v>
      </c>
      <c r="DV9" s="420">
        <v>0</v>
      </c>
      <c r="DW9" s="420">
        <v>0</v>
      </c>
      <c r="DX9" s="420">
        <v>54</v>
      </c>
      <c r="DY9" s="420">
        <v>0</v>
      </c>
      <c r="DZ9" s="420">
        <v>0</v>
      </c>
      <c r="EA9" s="420">
        <v>46363</v>
      </c>
      <c r="EB9" s="420">
        <v>0</v>
      </c>
      <c r="EC9" s="420">
        <v>0</v>
      </c>
      <c r="ED9" s="420">
        <v>0</v>
      </c>
      <c r="EE9" s="420">
        <v>0</v>
      </c>
      <c r="EF9" s="420">
        <v>0</v>
      </c>
      <c r="EG9" s="420">
        <v>0</v>
      </c>
      <c r="EH9" s="420">
        <v>3</v>
      </c>
      <c r="EI9" s="420">
        <v>0</v>
      </c>
      <c r="EJ9" s="420">
        <v>0</v>
      </c>
      <c r="EK9" s="420">
        <v>0</v>
      </c>
      <c r="EL9" s="420">
        <v>0</v>
      </c>
      <c r="EM9" s="420">
        <v>0</v>
      </c>
      <c r="EN9" s="420">
        <v>0</v>
      </c>
      <c r="EO9" s="420">
        <v>0</v>
      </c>
      <c r="EP9" s="420">
        <v>0</v>
      </c>
      <c r="EQ9" s="420">
        <v>0</v>
      </c>
      <c r="ER9" s="420">
        <v>0</v>
      </c>
      <c r="ES9" s="420">
        <v>3</v>
      </c>
      <c r="ET9" s="420">
        <v>0</v>
      </c>
      <c r="EU9" s="420">
        <v>0</v>
      </c>
      <c r="EV9" s="420">
        <v>0</v>
      </c>
      <c r="EW9" s="420">
        <v>0</v>
      </c>
      <c r="EX9" s="420">
        <v>0</v>
      </c>
      <c r="EY9" s="420">
        <v>0</v>
      </c>
      <c r="EZ9" s="420">
        <v>0</v>
      </c>
      <c r="FA9" s="420">
        <v>0</v>
      </c>
      <c r="FB9" s="420">
        <v>0</v>
      </c>
      <c r="FC9" s="420">
        <v>0</v>
      </c>
      <c r="FD9" s="420">
        <v>0</v>
      </c>
      <c r="FE9" s="420">
        <v>0</v>
      </c>
      <c r="FF9" s="420">
        <v>0</v>
      </c>
      <c r="FG9" s="420">
        <v>0</v>
      </c>
      <c r="FH9" s="420">
        <v>0</v>
      </c>
      <c r="FI9" s="420">
        <v>0</v>
      </c>
      <c r="FJ9" s="420">
        <v>0</v>
      </c>
      <c r="FK9" s="421">
        <v>49341</v>
      </c>
    </row>
    <row r="10" spans="1:167" x14ac:dyDescent="0.35">
      <c r="A10" s="408" t="s">
        <v>725</v>
      </c>
      <c r="B10" s="417">
        <f t="shared" si="6"/>
        <v>921300</v>
      </c>
      <c r="C10" s="417">
        <f t="shared" si="7"/>
        <v>0</v>
      </c>
      <c r="D10" s="417">
        <f t="shared" si="8"/>
        <v>32421</v>
      </c>
      <c r="E10" s="417">
        <f t="shared" si="9"/>
        <v>8245</v>
      </c>
      <c r="F10" s="417">
        <f t="shared" si="10"/>
        <v>10104</v>
      </c>
      <c r="G10" s="417">
        <f t="shared" si="11"/>
        <v>12204</v>
      </c>
      <c r="H10" s="417">
        <f t="shared" si="12"/>
        <v>61818</v>
      </c>
      <c r="I10" s="417">
        <f t="shared" si="13"/>
        <v>10074</v>
      </c>
      <c r="J10" s="417">
        <f t="shared" si="14"/>
        <v>4218</v>
      </c>
      <c r="K10" s="417">
        <f t="shared" si="15"/>
        <v>30416</v>
      </c>
      <c r="L10" s="417">
        <f t="shared" si="16"/>
        <v>30207</v>
      </c>
      <c r="M10" s="417">
        <f t="shared" si="17"/>
        <v>29467</v>
      </c>
      <c r="N10" s="417">
        <f t="shared" si="18"/>
        <v>3089</v>
      </c>
      <c r="O10" s="417">
        <f t="shared" si="19"/>
        <v>3332</v>
      </c>
      <c r="P10" s="417">
        <f t="shared" si="20"/>
        <v>91203</v>
      </c>
      <c r="Q10" s="417">
        <f t="shared" si="21"/>
        <v>20796</v>
      </c>
      <c r="R10" s="417">
        <f t="shared" si="22"/>
        <v>43909</v>
      </c>
      <c r="S10" s="417">
        <f t="shared" si="23"/>
        <v>136089</v>
      </c>
      <c r="T10" s="417">
        <f t="shared" si="24"/>
        <v>0</v>
      </c>
      <c r="U10" s="417">
        <f t="shared" si="25"/>
        <v>393708</v>
      </c>
      <c r="V10" s="417">
        <f t="shared" si="26"/>
        <v>20940</v>
      </c>
      <c r="W10" s="417">
        <f t="shared" si="27"/>
        <v>2308</v>
      </c>
      <c r="X10" s="417">
        <f t="shared" si="28"/>
        <v>142005</v>
      </c>
      <c r="Y10" s="417">
        <f t="shared" si="29"/>
        <v>890</v>
      </c>
      <c r="Z10" s="417">
        <f t="shared" si="30"/>
        <v>612</v>
      </c>
      <c r="AA10" s="417">
        <f t="shared" si="31"/>
        <v>5977</v>
      </c>
      <c r="AB10" s="417">
        <f t="shared" si="32"/>
        <v>2988</v>
      </c>
      <c r="AC10" s="417">
        <f t="shared" si="33"/>
        <v>199</v>
      </c>
      <c r="AD10" s="417">
        <f t="shared" si="34"/>
        <v>1490</v>
      </c>
      <c r="AE10" s="417">
        <f t="shared" si="35"/>
        <v>1251</v>
      </c>
      <c r="AF10" s="417">
        <f t="shared" si="36"/>
        <v>478</v>
      </c>
      <c r="AG10" s="417">
        <f t="shared" si="37"/>
        <v>4</v>
      </c>
      <c r="AH10" s="417">
        <f t="shared" si="38"/>
        <v>0</v>
      </c>
      <c r="AI10" s="417">
        <f t="shared" si="39"/>
        <v>1052</v>
      </c>
      <c r="AJ10" s="417">
        <f t="shared" si="40"/>
        <v>371</v>
      </c>
      <c r="AK10" s="417">
        <f t="shared" si="41"/>
        <v>180565</v>
      </c>
      <c r="AL10" s="417">
        <f t="shared" si="42"/>
        <v>0</v>
      </c>
      <c r="AM10" s="417">
        <f t="shared" si="43"/>
        <v>0</v>
      </c>
      <c r="AN10" s="417">
        <f t="shared" si="44"/>
        <v>0</v>
      </c>
      <c r="AO10" s="417">
        <f t="shared" si="45"/>
        <v>0</v>
      </c>
      <c r="AP10" s="417">
        <f t="shared" si="46"/>
        <v>0</v>
      </c>
      <c r="AQ10" s="417">
        <f t="shared" si="47"/>
        <v>0</v>
      </c>
      <c r="AR10" s="417">
        <f t="shared" si="48"/>
        <v>427</v>
      </c>
      <c r="AS10" s="417">
        <f t="shared" si="49"/>
        <v>0</v>
      </c>
      <c r="AT10" s="417">
        <f t="shared" si="50"/>
        <v>0</v>
      </c>
      <c r="AU10" s="417">
        <f t="shared" si="51"/>
        <v>0</v>
      </c>
      <c r="AV10" s="417">
        <f t="shared" si="52"/>
        <v>0</v>
      </c>
      <c r="AW10" s="417">
        <f t="shared" si="53"/>
        <v>0</v>
      </c>
      <c r="AX10" s="417">
        <f t="shared" si="54"/>
        <v>0</v>
      </c>
      <c r="AY10" s="417">
        <f t="shared" si="55"/>
        <v>0</v>
      </c>
      <c r="AZ10" s="417">
        <f t="shared" si="56"/>
        <v>0</v>
      </c>
      <c r="BA10" s="417">
        <f t="shared" si="57"/>
        <v>0</v>
      </c>
      <c r="BB10" s="417">
        <f t="shared" si="58"/>
        <v>1101</v>
      </c>
      <c r="BC10" s="417">
        <f t="shared" si="59"/>
        <v>1103393</v>
      </c>
      <c r="BD10" s="292"/>
      <c r="BE10" s="408" t="s">
        <v>725</v>
      </c>
      <c r="BF10" s="418">
        <v>455856</v>
      </c>
      <c r="BG10" s="418">
        <v>0</v>
      </c>
      <c r="BH10" s="418">
        <v>29444</v>
      </c>
      <c r="BI10" s="418">
        <v>7848</v>
      </c>
      <c r="BJ10" s="418">
        <v>9708</v>
      </c>
      <c r="BK10" s="418">
        <v>12049</v>
      </c>
      <c r="BL10" s="418">
        <v>57285</v>
      </c>
      <c r="BM10" s="418">
        <v>9706</v>
      </c>
      <c r="BN10" s="418">
        <v>4006</v>
      </c>
      <c r="BO10" s="418">
        <v>27712</v>
      </c>
      <c r="BP10" s="418">
        <v>25718</v>
      </c>
      <c r="BQ10" s="418">
        <v>28756</v>
      </c>
      <c r="BR10" s="418">
        <v>2945</v>
      </c>
      <c r="BS10" s="418">
        <v>3236</v>
      </c>
      <c r="BT10" s="418">
        <v>87187</v>
      </c>
      <c r="BU10" s="418">
        <v>20068</v>
      </c>
      <c r="BV10" s="418">
        <v>42464</v>
      </c>
      <c r="BW10" s="418">
        <v>76773</v>
      </c>
      <c r="BX10" s="418">
        <v>0</v>
      </c>
      <c r="BY10" s="418">
        <v>10951</v>
      </c>
      <c r="BZ10" s="418">
        <v>20940</v>
      </c>
      <c r="CA10" s="418">
        <v>2308</v>
      </c>
      <c r="CB10" s="418">
        <v>142005</v>
      </c>
      <c r="CC10" s="418">
        <v>890</v>
      </c>
      <c r="CD10" s="418">
        <v>168</v>
      </c>
      <c r="CE10" s="418">
        <v>5977</v>
      </c>
      <c r="CF10" s="418">
        <v>2988</v>
      </c>
      <c r="CG10" s="418">
        <v>199</v>
      </c>
      <c r="CH10" s="418">
        <v>1490</v>
      </c>
      <c r="CI10" s="418">
        <v>1251</v>
      </c>
      <c r="CJ10" s="418">
        <v>478</v>
      </c>
      <c r="CK10" s="418">
        <v>4</v>
      </c>
      <c r="CL10" s="418">
        <v>0</v>
      </c>
      <c r="CM10" s="418">
        <v>1052</v>
      </c>
      <c r="CN10" s="418">
        <v>371</v>
      </c>
      <c r="CO10" s="418">
        <v>180121</v>
      </c>
      <c r="CP10" s="418">
        <v>0</v>
      </c>
      <c r="CQ10" s="418">
        <v>0</v>
      </c>
      <c r="CR10" s="418">
        <v>0</v>
      </c>
      <c r="CS10" s="418">
        <v>0</v>
      </c>
      <c r="CT10" s="418">
        <v>0</v>
      </c>
      <c r="CU10" s="418">
        <v>0</v>
      </c>
      <c r="CV10" s="418">
        <v>427</v>
      </c>
      <c r="CW10" s="418">
        <v>0</v>
      </c>
      <c r="CX10" s="418">
        <v>0</v>
      </c>
      <c r="CY10" s="418">
        <v>0</v>
      </c>
      <c r="CZ10" s="418">
        <v>0</v>
      </c>
      <c r="DA10" s="418">
        <v>0</v>
      </c>
      <c r="DB10" s="418">
        <v>0</v>
      </c>
      <c r="DC10" s="418">
        <v>0</v>
      </c>
      <c r="DD10" s="418">
        <v>0</v>
      </c>
      <c r="DE10" s="418">
        <v>0</v>
      </c>
      <c r="DF10" s="418">
        <v>1101</v>
      </c>
      <c r="DG10" s="418">
        <v>637505</v>
      </c>
      <c r="DI10" s="419" t="s">
        <v>725</v>
      </c>
      <c r="DJ10" s="420">
        <v>465444</v>
      </c>
      <c r="DK10" s="420">
        <v>0</v>
      </c>
      <c r="DL10" s="420">
        <v>2977</v>
      </c>
      <c r="DM10" s="420">
        <v>397</v>
      </c>
      <c r="DN10" s="420">
        <v>396</v>
      </c>
      <c r="DO10" s="420">
        <v>155</v>
      </c>
      <c r="DP10" s="420">
        <v>4533</v>
      </c>
      <c r="DQ10" s="420">
        <v>368</v>
      </c>
      <c r="DR10" s="420">
        <v>212</v>
      </c>
      <c r="DS10" s="420">
        <v>2704</v>
      </c>
      <c r="DT10" s="420">
        <v>4489</v>
      </c>
      <c r="DU10" s="420">
        <v>711</v>
      </c>
      <c r="DV10" s="420">
        <v>144</v>
      </c>
      <c r="DW10" s="420">
        <v>96</v>
      </c>
      <c r="DX10" s="420">
        <v>4016</v>
      </c>
      <c r="DY10" s="420">
        <v>728</v>
      </c>
      <c r="DZ10" s="420">
        <v>1445</v>
      </c>
      <c r="EA10" s="420">
        <v>59316</v>
      </c>
      <c r="EB10" s="420">
        <v>0</v>
      </c>
      <c r="EC10" s="420">
        <v>382757</v>
      </c>
      <c r="ED10" s="420">
        <v>0</v>
      </c>
      <c r="EE10" s="420">
        <v>0</v>
      </c>
      <c r="EF10" s="420">
        <v>0</v>
      </c>
      <c r="EG10" s="420">
        <v>0</v>
      </c>
      <c r="EH10" s="420">
        <v>444</v>
      </c>
      <c r="EI10" s="420">
        <v>0</v>
      </c>
      <c r="EJ10" s="420">
        <v>0</v>
      </c>
      <c r="EK10" s="420">
        <v>0</v>
      </c>
      <c r="EL10" s="420">
        <v>0</v>
      </c>
      <c r="EM10" s="420">
        <v>0</v>
      </c>
      <c r="EN10" s="420">
        <v>0</v>
      </c>
      <c r="EO10" s="420">
        <v>0</v>
      </c>
      <c r="EP10" s="420">
        <v>0</v>
      </c>
      <c r="EQ10" s="420">
        <v>0</v>
      </c>
      <c r="ER10" s="420">
        <v>0</v>
      </c>
      <c r="ES10" s="420">
        <v>444</v>
      </c>
      <c r="ET10" s="420">
        <v>0</v>
      </c>
      <c r="EU10" s="420">
        <v>0</v>
      </c>
      <c r="EV10" s="420">
        <v>0</v>
      </c>
      <c r="EW10" s="420">
        <v>0</v>
      </c>
      <c r="EX10" s="420">
        <v>0</v>
      </c>
      <c r="EY10" s="420">
        <v>0</v>
      </c>
      <c r="EZ10" s="420">
        <v>0</v>
      </c>
      <c r="FA10" s="420">
        <v>0</v>
      </c>
      <c r="FB10" s="420">
        <v>0</v>
      </c>
      <c r="FC10" s="420">
        <v>0</v>
      </c>
      <c r="FD10" s="420">
        <v>0</v>
      </c>
      <c r="FE10" s="420">
        <v>0</v>
      </c>
      <c r="FF10" s="420">
        <v>0</v>
      </c>
      <c r="FG10" s="420">
        <v>0</v>
      </c>
      <c r="FH10" s="420">
        <v>0</v>
      </c>
      <c r="FI10" s="420">
        <v>0</v>
      </c>
      <c r="FJ10" s="420">
        <v>0</v>
      </c>
      <c r="FK10" s="421">
        <v>465888</v>
      </c>
    </row>
    <row r="11" spans="1:167" x14ac:dyDescent="0.35">
      <c r="A11" s="408" t="s">
        <v>726</v>
      </c>
      <c r="B11" s="417">
        <f t="shared" si="6"/>
        <v>10632967</v>
      </c>
      <c r="C11" s="417">
        <f t="shared" si="7"/>
        <v>0</v>
      </c>
      <c r="D11" s="417">
        <f t="shared" si="8"/>
        <v>206453</v>
      </c>
      <c r="E11" s="417">
        <f t="shared" si="9"/>
        <v>56201</v>
      </c>
      <c r="F11" s="417">
        <f t="shared" si="10"/>
        <v>77075</v>
      </c>
      <c r="G11" s="417">
        <f t="shared" si="11"/>
        <v>36640</v>
      </c>
      <c r="H11" s="417">
        <f t="shared" si="12"/>
        <v>481818</v>
      </c>
      <c r="I11" s="417">
        <f t="shared" si="13"/>
        <v>140098</v>
      </c>
      <c r="J11" s="417">
        <f t="shared" si="14"/>
        <v>111999</v>
      </c>
      <c r="K11" s="417">
        <f t="shared" si="15"/>
        <v>332006</v>
      </c>
      <c r="L11" s="417">
        <f t="shared" si="16"/>
        <v>315490</v>
      </c>
      <c r="M11" s="417">
        <f t="shared" si="17"/>
        <v>289150</v>
      </c>
      <c r="N11" s="417">
        <f t="shared" si="18"/>
        <v>46348</v>
      </c>
      <c r="O11" s="417">
        <f t="shared" si="19"/>
        <v>38832</v>
      </c>
      <c r="P11" s="417">
        <f t="shared" si="20"/>
        <v>675102</v>
      </c>
      <c r="Q11" s="417">
        <f t="shared" si="21"/>
        <v>132441</v>
      </c>
      <c r="R11" s="417">
        <f t="shared" si="22"/>
        <v>281330</v>
      </c>
      <c r="S11" s="417">
        <f t="shared" si="23"/>
        <v>7279388</v>
      </c>
      <c r="T11" s="417">
        <f t="shared" si="24"/>
        <v>0</v>
      </c>
      <c r="U11" s="417">
        <f t="shared" si="25"/>
        <v>132596</v>
      </c>
      <c r="V11" s="417">
        <f t="shared" si="26"/>
        <v>232</v>
      </c>
      <c r="W11" s="417">
        <f t="shared" si="27"/>
        <v>35</v>
      </c>
      <c r="X11" s="417">
        <f t="shared" si="28"/>
        <v>3535</v>
      </c>
      <c r="Y11" s="417">
        <f t="shared" si="29"/>
        <v>1732</v>
      </c>
      <c r="Z11" s="417">
        <f t="shared" si="30"/>
        <v>994</v>
      </c>
      <c r="AA11" s="417">
        <f t="shared" si="31"/>
        <v>2996</v>
      </c>
      <c r="AB11" s="417">
        <f t="shared" si="32"/>
        <v>846</v>
      </c>
      <c r="AC11" s="417">
        <f t="shared" si="33"/>
        <v>357</v>
      </c>
      <c r="AD11" s="417">
        <f t="shared" si="34"/>
        <v>2</v>
      </c>
      <c r="AE11" s="417">
        <f t="shared" si="35"/>
        <v>503</v>
      </c>
      <c r="AF11" s="417">
        <f t="shared" si="36"/>
        <v>1845</v>
      </c>
      <c r="AG11" s="417">
        <f t="shared" si="37"/>
        <v>1</v>
      </c>
      <c r="AH11" s="417">
        <f t="shared" si="38"/>
        <v>994</v>
      </c>
      <c r="AI11" s="417">
        <f t="shared" si="39"/>
        <v>216</v>
      </c>
      <c r="AJ11" s="417">
        <f t="shared" si="40"/>
        <v>234</v>
      </c>
      <c r="AK11" s="417">
        <f t="shared" si="41"/>
        <v>14522</v>
      </c>
      <c r="AL11" s="417">
        <f t="shared" si="42"/>
        <v>0</v>
      </c>
      <c r="AM11" s="417">
        <f t="shared" si="43"/>
        <v>0</v>
      </c>
      <c r="AN11" s="417">
        <f t="shared" si="44"/>
        <v>0</v>
      </c>
      <c r="AO11" s="417">
        <f t="shared" si="45"/>
        <v>0</v>
      </c>
      <c r="AP11" s="417">
        <f t="shared" si="46"/>
        <v>0</v>
      </c>
      <c r="AQ11" s="417">
        <f t="shared" si="47"/>
        <v>0</v>
      </c>
      <c r="AR11" s="417">
        <f t="shared" si="48"/>
        <v>0</v>
      </c>
      <c r="AS11" s="417">
        <f t="shared" si="49"/>
        <v>0</v>
      </c>
      <c r="AT11" s="417">
        <f t="shared" si="50"/>
        <v>0</v>
      </c>
      <c r="AU11" s="417">
        <f t="shared" si="51"/>
        <v>0</v>
      </c>
      <c r="AV11" s="417">
        <f t="shared" si="52"/>
        <v>0</v>
      </c>
      <c r="AW11" s="417">
        <f t="shared" si="53"/>
        <v>0</v>
      </c>
      <c r="AX11" s="417">
        <f t="shared" si="54"/>
        <v>0</v>
      </c>
      <c r="AY11" s="417">
        <f t="shared" si="55"/>
        <v>0</v>
      </c>
      <c r="AZ11" s="417">
        <f t="shared" si="56"/>
        <v>0</v>
      </c>
      <c r="BA11" s="417">
        <f t="shared" si="57"/>
        <v>0</v>
      </c>
      <c r="BB11" s="417">
        <f t="shared" si="58"/>
        <v>155</v>
      </c>
      <c r="BC11" s="417">
        <f t="shared" si="59"/>
        <v>10647644</v>
      </c>
      <c r="BD11" s="292"/>
      <c r="BE11" s="408" t="s">
        <v>726</v>
      </c>
      <c r="BF11" s="418">
        <v>9646914</v>
      </c>
      <c r="BG11" s="418">
        <v>0</v>
      </c>
      <c r="BH11" s="418">
        <v>196805</v>
      </c>
      <c r="BI11" s="418">
        <v>56010</v>
      </c>
      <c r="BJ11" s="418">
        <v>76773</v>
      </c>
      <c r="BK11" s="418">
        <v>36627</v>
      </c>
      <c r="BL11" s="418">
        <v>477547</v>
      </c>
      <c r="BM11" s="418">
        <v>139453</v>
      </c>
      <c r="BN11" s="418">
        <v>98726</v>
      </c>
      <c r="BO11" s="418">
        <v>318957</v>
      </c>
      <c r="BP11" s="418">
        <v>307448</v>
      </c>
      <c r="BQ11" s="418">
        <v>289132</v>
      </c>
      <c r="BR11" s="418">
        <v>45007</v>
      </c>
      <c r="BS11" s="418">
        <v>37432</v>
      </c>
      <c r="BT11" s="418">
        <v>664911</v>
      </c>
      <c r="BU11" s="418">
        <v>132066</v>
      </c>
      <c r="BV11" s="418">
        <v>280616</v>
      </c>
      <c r="BW11" s="418">
        <v>6361491</v>
      </c>
      <c r="BX11" s="418">
        <v>0</v>
      </c>
      <c r="BY11" s="418">
        <v>127913</v>
      </c>
      <c r="BZ11" s="418">
        <v>232</v>
      </c>
      <c r="CA11" s="418">
        <v>35</v>
      </c>
      <c r="CB11" s="418">
        <v>3535</v>
      </c>
      <c r="CC11" s="418">
        <v>1732</v>
      </c>
      <c r="CD11" s="418">
        <v>760</v>
      </c>
      <c r="CE11" s="418">
        <v>2996</v>
      </c>
      <c r="CF11" s="418">
        <v>846</v>
      </c>
      <c r="CG11" s="418">
        <v>357</v>
      </c>
      <c r="CH11" s="418">
        <v>2</v>
      </c>
      <c r="CI11" s="418">
        <v>503</v>
      </c>
      <c r="CJ11" s="418">
        <v>1845</v>
      </c>
      <c r="CK11" s="418">
        <v>1</v>
      </c>
      <c r="CL11" s="418">
        <v>994</v>
      </c>
      <c r="CM11" s="418">
        <v>216</v>
      </c>
      <c r="CN11" s="418">
        <v>234</v>
      </c>
      <c r="CO11" s="418">
        <v>14288</v>
      </c>
      <c r="CP11" s="418">
        <v>0</v>
      </c>
      <c r="CQ11" s="418">
        <v>0</v>
      </c>
      <c r="CR11" s="418">
        <v>0</v>
      </c>
      <c r="CS11" s="418">
        <v>0</v>
      </c>
      <c r="CT11" s="418">
        <v>0</v>
      </c>
      <c r="CU11" s="418">
        <v>0</v>
      </c>
      <c r="CV11" s="418">
        <v>0</v>
      </c>
      <c r="CW11" s="418">
        <v>0</v>
      </c>
      <c r="CX11" s="418">
        <v>0</v>
      </c>
      <c r="CY11" s="418">
        <v>0</v>
      </c>
      <c r="CZ11" s="418">
        <v>0</v>
      </c>
      <c r="DA11" s="418">
        <v>0</v>
      </c>
      <c r="DB11" s="418">
        <v>0</v>
      </c>
      <c r="DC11" s="418">
        <v>0</v>
      </c>
      <c r="DD11" s="418">
        <v>0</v>
      </c>
      <c r="DE11" s="418">
        <v>0</v>
      </c>
      <c r="DF11" s="418">
        <v>155</v>
      </c>
      <c r="DG11" s="418">
        <v>9661357</v>
      </c>
      <c r="DI11" s="419" t="s">
        <v>726</v>
      </c>
      <c r="DJ11" s="420">
        <v>986053</v>
      </c>
      <c r="DK11" s="420">
        <v>0</v>
      </c>
      <c r="DL11" s="420">
        <v>9648</v>
      </c>
      <c r="DM11" s="420">
        <v>191</v>
      </c>
      <c r="DN11" s="420">
        <v>302</v>
      </c>
      <c r="DO11" s="420">
        <v>13</v>
      </c>
      <c r="DP11" s="420">
        <v>4271</v>
      </c>
      <c r="DQ11" s="420">
        <v>645</v>
      </c>
      <c r="DR11" s="420">
        <v>13273</v>
      </c>
      <c r="DS11" s="420">
        <v>13049</v>
      </c>
      <c r="DT11" s="420">
        <v>8042</v>
      </c>
      <c r="DU11" s="420">
        <v>18</v>
      </c>
      <c r="DV11" s="420">
        <v>1341</v>
      </c>
      <c r="DW11" s="420">
        <v>1400</v>
      </c>
      <c r="DX11" s="420">
        <v>10191</v>
      </c>
      <c r="DY11" s="420">
        <v>375</v>
      </c>
      <c r="DZ11" s="420">
        <v>714</v>
      </c>
      <c r="EA11" s="420">
        <v>917897</v>
      </c>
      <c r="EB11" s="420">
        <v>0</v>
      </c>
      <c r="EC11" s="420">
        <v>4683</v>
      </c>
      <c r="ED11" s="420">
        <v>0</v>
      </c>
      <c r="EE11" s="420">
        <v>0</v>
      </c>
      <c r="EF11" s="420">
        <v>0</v>
      </c>
      <c r="EG11" s="420">
        <v>0</v>
      </c>
      <c r="EH11" s="420">
        <v>234</v>
      </c>
      <c r="EI11" s="420">
        <v>0</v>
      </c>
      <c r="EJ11" s="420">
        <v>0</v>
      </c>
      <c r="EK11" s="420">
        <v>0</v>
      </c>
      <c r="EL11" s="420">
        <v>0</v>
      </c>
      <c r="EM11" s="420">
        <v>0</v>
      </c>
      <c r="EN11" s="420">
        <v>0</v>
      </c>
      <c r="EO11" s="420">
        <v>0</v>
      </c>
      <c r="EP11" s="420">
        <v>0</v>
      </c>
      <c r="EQ11" s="420">
        <v>0</v>
      </c>
      <c r="ER11" s="420">
        <v>0</v>
      </c>
      <c r="ES11" s="420">
        <v>234</v>
      </c>
      <c r="ET11" s="420">
        <v>0</v>
      </c>
      <c r="EU11" s="420">
        <v>0</v>
      </c>
      <c r="EV11" s="420">
        <v>0</v>
      </c>
      <c r="EW11" s="420">
        <v>0</v>
      </c>
      <c r="EX11" s="420">
        <v>0</v>
      </c>
      <c r="EY11" s="420">
        <v>0</v>
      </c>
      <c r="EZ11" s="420">
        <v>0</v>
      </c>
      <c r="FA11" s="420">
        <v>0</v>
      </c>
      <c r="FB11" s="420">
        <v>0</v>
      </c>
      <c r="FC11" s="420">
        <v>0</v>
      </c>
      <c r="FD11" s="420">
        <v>0</v>
      </c>
      <c r="FE11" s="420">
        <v>0</v>
      </c>
      <c r="FF11" s="420">
        <v>0</v>
      </c>
      <c r="FG11" s="420">
        <v>0</v>
      </c>
      <c r="FH11" s="420">
        <v>0</v>
      </c>
      <c r="FI11" s="420">
        <v>0</v>
      </c>
      <c r="FJ11" s="420">
        <v>0</v>
      </c>
      <c r="FK11" s="421">
        <v>986287</v>
      </c>
    </row>
    <row r="12" spans="1:167" x14ac:dyDescent="0.35">
      <c r="A12" s="408" t="s">
        <v>727</v>
      </c>
      <c r="B12" s="417">
        <f t="shared" si="6"/>
        <v>3314523</v>
      </c>
      <c r="C12" s="417">
        <f t="shared" si="7"/>
        <v>0</v>
      </c>
      <c r="D12" s="417">
        <f t="shared" si="8"/>
        <v>524189</v>
      </c>
      <c r="E12" s="417">
        <f t="shared" si="9"/>
        <v>87277</v>
      </c>
      <c r="F12" s="417">
        <f t="shared" si="10"/>
        <v>35443</v>
      </c>
      <c r="G12" s="417">
        <f t="shared" si="11"/>
        <v>42999</v>
      </c>
      <c r="H12" s="417">
        <f t="shared" si="12"/>
        <v>747512</v>
      </c>
      <c r="I12" s="417">
        <f t="shared" si="13"/>
        <v>63251</v>
      </c>
      <c r="J12" s="417">
        <f t="shared" si="14"/>
        <v>16649</v>
      </c>
      <c r="K12" s="417">
        <f t="shared" si="15"/>
        <v>407905</v>
      </c>
      <c r="L12" s="417">
        <f t="shared" si="16"/>
        <v>235280</v>
      </c>
      <c r="M12" s="417">
        <f t="shared" si="17"/>
        <v>101925</v>
      </c>
      <c r="N12" s="417">
        <f t="shared" si="18"/>
        <v>27758</v>
      </c>
      <c r="O12" s="417">
        <f t="shared" si="19"/>
        <v>87835</v>
      </c>
      <c r="P12" s="417">
        <f t="shared" si="20"/>
        <v>162092</v>
      </c>
      <c r="Q12" s="417">
        <f t="shared" si="21"/>
        <v>41955</v>
      </c>
      <c r="R12" s="417">
        <f t="shared" si="22"/>
        <v>44879</v>
      </c>
      <c r="S12" s="417">
        <f t="shared" si="23"/>
        <v>405508</v>
      </c>
      <c r="T12" s="417">
        <f t="shared" si="24"/>
        <v>0</v>
      </c>
      <c r="U12" s="417">
        <f t="shared" si="25"/>
        <v>282066</v>
      </c>
      <c r="V12" s="417">
        <f t="shared" si="26"/>
        <v>60541</v>
      </c>
      <c r="W12" s="417">
        <f t="shared" si="27"/>
        <v>10896</v>
      </c>
      <c r="X12" s="417">
        <f t="shared" si="28"/>
        <v>113453</v>
      </c>
      <c r="Y12" s="417">
        <f t="shared" si="29"/>
        <v>261</v>
      </c>
      <c r="Z12" s="417">
        <f t="shared" si="30"/>
        <v>2168</v>
      </c>
      <c r="AA12" s="417">
        <f t="shared" si="31"/>
        <v>1456</v>
      </c>
      <c r="AB12" s="417">
        <f t="shared" si="32"/>
        <v>1320</v>
      </c>
      <c r="AC12" s="417">
        <f t="shared" si="33"/>
        <v>176</v>
      </c>
      <c r="AD12" s="417">
        <f t="shared" si="34"/>
        <v>305</v>
      </c>
      <c r="AE12" s="417">
        <f t="shared" si="35"/>
        <v>9985</v>
      </c>
      <c r="AF12" s="417">
        <f t="shared" si="36"/>
        <v>2888</v>
      </c>
      <c r="AG12" s="417">
        <f t="shared" si="37"/>
        <v>88</v>
      </c>
      <c r="AH12" s="417">
        <f t="shared" si="38"/>
        <v>133</v>
      </c>
      <c r="AI12" s="417">
        <f t="shared" si="39"/>
        <v>420</v>
      </c>
      <c r="AJ12" s="417">
        <f t="shared" si="40"/>
        <v>521</v>
      </c>
      <c r="AK12" s="417">
        <f t="shared" si="41"/>
        <v>204611</v>
      </c>
      <c r="AL12" s="417">
        <f t="shared" si="42"/>
        <v>0</v>
      </c>
      <c r="AM12" s="417">
        <f t="shared" si="43"/>
        <v>0</v>
      </c>
      <c r="AN12" s="417">
        <f t="shared" si="44"/>
        <v>0</v>
      </c>
      <c r="AO12" s="417">
        <f t="shared" si="45"/>
        <v>0</v>
      </c>
      <c r="AP12" s="417">
        <f t="shared" si="46"/>
        <v>0</v>
      </c>
      <c r="AQ12" s="417">
        <f t="shared" si="47"/>
        <v>0</v>
      </c>
      <c r="AR12" s="417">
        <f t="shared" si="48"/>
        <v>5869</v>
      </c>
      <c r="AS12" s="417">
        <f t="shared" si="49"/>
        <v>0</v>
      </c>
      <c r="AT12" s="417">
        <f t="shared" si="50"/>
        <v>0</v>
      </c>
      <c r="AU12" s="417">
        <f t="shared" si="51"/>
        <v>0</v>
      </c>
      <c r="AV12" s="417">
        <f t="shared" si="52"/>
        <v>0</v>
      </c>
      <c r="AW12" s="417">
        <f t="shared" si="53"/>
        <v>0</v>
      </c>
      <c r="AX12" s="417">
        <f t="shared" si="54"/>
        <v>0</v>
      </c>
      <c r="AY12" s="417">
        <f t="shared" si="55"/>
        <v>0</v>
      </c>
      <c r="AZ12" s="417">
        <f t="shared" si="56"/>
        <v>0</v>
      </c>
      <c r="BA12" s="417">
        <f t="shared" si="57"/>
        <v>0</v>
      </c>
      <c r="BB12" s="417">
        <f t="shared" si="58"/>
        <v>499</v>
      </c>
      <c r="BC12" s="417">
        <f t="shared" si="59"/>
        <v>3525502</v>
      </c>
      <c r="BD12" s="292"/>
      <c r="BE12" s="408" t="s">
        <v>727</v>
      </c>
      <c r="BF12" s="418">
        <v>2504086</v>
      </c>
      <c r="BG12" s="418">
        <v>0</v>
      </c>
      <c r="BH12" s="418">
        <v>423536</v>
      </c>
      <c r="BI12" s="418">
        <v>71510</v>
      </c>
      <c r="BJ12" s="418">
        <v>28812</v>
      </c>
      <c r="BK12" s="418">
        <v>42883</v>
      </c>
      <c r="BL12" s="418">
        <v>609086</v>
      </c>
      <c r="BM12" s="418">
        <v>45699</v>
      </c>
      <c r="BN12" s="418">
        <v>15062</v>
      </c>
      <c r="BO12" s="418">
        <v>320289</v>
      </c>
      <c r="BP12" s="418">
        <v>194479</v>
      </c>
      <c r="BQ12" s="418">
        <v>81451</v>
      </c>
      <c r="BR12" s="418">
        <v>25478</v>
      </c>
      <c r="BS12" s="418">
        <v>75500</v>
      </c>
      <c r="BT12" s="418">
        <v>132865</v>
      </c>
      <c r="BU12" s="418">
        <v>35855</v>
      </c>
      <c r="BV12" s="418">
        <v>36527</v>
      </c>
      <c r="BW12" s="418">
        <v>145377</v>
      </c>
      <c r="BX12" s="418">
        <v>0</v>
      </c>
      <c r="BY12" s="418">
        <v>219677</v>
      </c>
      <c r="BZ12" s="418">
        <v>60541</v>
      </c>
      <c r="CA12" s="418">
        <v>10896</v>
      </c>
      <c r="CB12" s="418">
        <v>113453</v>
      </c>
      <c r="CC12" s="418">
        <v>261</v>
      </c>
      <c r="CD12" s="418">
        <v>312</v>
      </c>
      <c r="CE12" s="418">
        <v>1456</v>
      </c>
      <c r="CF12" s="418">
        <v>1320</v>
      </c>
      <c r="CG12" s="418">
        <v>172</v>
      </c>
      <c r="CH12" s="418">
        <v>305</v>
      </c>
      <c r="CI12" s="418">
        <v>9985</v>
      </c>
      <c r="CJ12" s="418">
        <v>2888</v>
      </c>
      <c r="CK12" s="418">
        <v>88</v>
      </c>
      <c r="CL12" s="418">
        <v>133</v>
      </c>
      <c r="CM12" s="418">
        <v>420</v>
      </c>
      <c r="CN12" s="418">
        <v>521</v>
      </c>
      <c r="CO12" s="418">
        <v>202751</v>
      </c>
      <c r="CP12" s="418">
        <v>0</v>
      </c>
      <c r="CQ12" s="418">
        <v>0</v>
      </c>
      <c r="CR12" s="418">
        <v>0</v>
      </c>
      <c r="CS12" s="418">
        <v>0</v>
      </c>
      <c r="CT12" s="418">
        <v>0</v>
      </c>
      <c r="CU12" s="418">
        <v>0</v>
      </c>
      <c r="CV12" s="418">
        <v>5868</v>
      </c>
      <c r="CW12" s="418">
        <v>0</v>
      </c>
      <c r="CX12" s="418">
        <v>0</v>
      </c>
      <c r="CY12" s="418">
        <v>0</v>
      </c>
      <c r="CZ12" s="418">
        <v>0</v>
      </c>
      <c r="DA12" s="418">
        <v>0</v>
      </c>
      <c r="DB12" s="418">
        <v>0</v>
      </c>
      <c r="DC12" s="418">
        <v>0</v>
      </c>
      <c r="DD12" s="418">
        <v>0</v>
      </c>
      <c r="DE12" s="418">
        <v>0</v>
      </c>
      <c r="DF12" s="418">
        <v>482</v>
      </c>
      <c r="DG12" s="418">
        <v>2713187</v>
      </c>
      <c r="DI12" s="419" t="s">
        <v>727</v>
      </c>
      <c r="DJ12" s="420">
        <v>810437</v>
      </c>
      <c r="DK12" s="420">
        <v>0</v>
      </c>
      <c r="DL12" s="420">
        <v>100653</v>
      </c>
      <c r="DM12" s="420">
        <v>15767</v>
      </c>
      <c r="DN12" s="420">
        <v>6631</v>
      </c>
      <c r="DO12" s="420">
        <v>116</v>
      </c>
      <c r="DP12" s="420">
        <v>138426</v>
      </c>
      <c r="DQ12" s="420">
        <v>17552</v>
      </c>
      <c r="DR12" s="420">
        <v>1587</v>
      </c>
      <c r="DS12" s="420">
        <v>87616</v>
      </c>
      <c r="DT12" s="420">
        <v>40801</v>
      </c>
      <c r="DU12" s="420">
        <v>20474</v>
      </c>
      <c r="DV12" s="420">
        <v>2280</v>
      </c>
      <c r="DW12" s="420">
        <v>12335</v>
      </c>
      <c r="DX12" s="420">
        <v>29227</v>
      </c>
      <c r="DY12" s="420">
        <v>6100</v>
      </c>
      <c r="DZ12" s="420">
        <v>8352</v>
      </c>
      <c r="EA12" s="420">
        <v>260131</v>
      </c>
      <c r="EB12" s="420">
        <v>0</v>
      </c>
      <c r="EC12" s="420">
        <v>62389</v>
      </c>
      <c r="ED12" s="420">
        <v>0</v>
      </c>
      <c r="EE12" s="420">
        <v>0</v>
      </c>
      <c r="EF12" s="420">
        <v>0</v>
      </c>
      <c r="EG12" s="420">
        <v>0</v>
      </c>
      <c r="EH12" s="420">
        <v>1856</v>
      </c>
      <c r="EI12" s="420">
        <v>0</v>
      </c>
      <c r="EJ12" s="420">
        <v>0</v>
      </c>
      <c r="EK12" s="420">
        <v>4</v>
      </c>
      <c r="EL12" s="420">
        <v>0</v>
      </c>
      <c r="EM12" s="420">
        <v>0</v>
      </c>
      <c r="EN12" s="420">
        <v>0</v>
      </c>
      <c r="EO12" s="420">
        <v>0</v>
      </c>
      <c r="EP12" s="420">
        <v>0</v>
      </c>
      <c r="EQ12" s="420">
        <v>0</v>
      </c>
      <c r="ER12" s="420">
        <v>0</v>
      </c>
      <c r="ES12" s="420">
        <v>1860</v>
      </c>
      <c r="ET12" s="420">
        <v>0</v>
      </c>
      <c r="EU12" s="420">
        <v>0</v>
      </c>
      <c r="EV12" s="420">
        <v>0</v>
      </c>
      <c r="EW12" s="420">
        <v>0</v>
      </c>
      <c r="EX12" s="420">
        <v>0</v>
      </c>
      <c r="EY12" s="420">
        <v>0</v>
      </c>
      <c r="EZ12" s="420">
        <v>1</v>
      </c>
      <c r="FA12" s="420">
        <v>0</v>
      </c>
      <c r="FB12" s="420">
        <v>0</v>
      </c>
      <c r="FC12" s="420">
        <v>0</v>
      </c>
      <c r="FD12" s="420">
        <v>0</v>
      </c>
      <c r="FE12" s="420">
        <v>0</v>
      </c>
      <c r="FF12" s="420">
        <v>0</v>
      </c>
      <c r="FG12" s="420">
        <v>0</v>
      </c>
      <c r="FH12" s="420">
        <v>0</v>
      </c>
      <c r="FI12" s="420">
        <v>0</v>
      </c>
      <c r="FJ12" s="420">
        <v>17</v>
      </c>
      <c r="FK12" s="421">
        <v>812315</v>
      </c>
    </row>
    <row r="13" spans="1:167" x14ac:dyDescent="0.35">
      <c r="A13" s="408" t="s">
        <v>728</v>
      </c>
      <c r="B13" s="417">
        <f t="shared" si="6"/>
        <v>3859608</v>
      </c>
      <c r="C13" s="417">
        <f t="shared" si="7"/>
        <v>292599</v>
      </c>
      <c r="D13" s="417">
        <f t="shared" si="8"/>
        <v>72500</v>
      </c>
      <c r="E13" s="417">
        <f t="shared" si="9"/>
        <v>34717</v>
      </c>
      <c r="F13" s="417">
        <f t="shared" si="10"/>
        <v>37981</v>
      </c>
      <c r="G13" s="417">
        <f t="shared" si="11"/>
        <v>75998</v>
      </c>
      <c r="H13" s="417">
        <f t="shared" si="12"/>
        <v>247504</v>
      </c>
      <c r="I13" s="417">
        <f t="shared" si="13"/>
        <v>59588</v>
      </c>
      <c r="J13" s="417">
        <f t="shared" si="14"/>
        <v>23289</v>
      </c>
      <c r="K13" s="417">
        <f t="shared" si="15"/>
        <v>47636</v>
      </c>
      <c r="L13" s="417">
        <f t="shared" si="16"/>
        <v>167438</v>
      </c>
      <c r="M13" s="417">
        <f t="shared" si="17"/>
        <v>205739</v>
      </c>
      <c r="N13" s="417">
        <f t="shared" si="18"/>
        <v>22964</v>
      </c>
      <c r="O13" s="417">
        <f t="shared" si="19"/>
        <v>22349</v>
      </c>
      <c r="P13" s="417">
        <f t="shared" si="20"/>
        <v>529115</v>
      </c>
      <c r="Q13" s="417">
        <f t="shared" si="21"/>
        <v>107342</v>
      </c>
      <c r="R13" s="417">
        <f t="shared" si="22"/>
        <v>208918</v>
      </c>
      <c r="S13" s="417">
        <f t="shared" si="23"/>
        <v>1800946</v>
      </c>
      <c r="T13" s="417">
        <f t="shared" si="24"/>
        <v>54553</v>
      </c>
      <c r="U13" s="417">
        <f t="shared" si="25"/>
        <v>141031</v>
      </c>
      <c r="V13" s="417">
        <f t="shared" si="26"/>
        <v>382456</v>
      </c>
      <c r="W13" s="417">
        <f t="shared" si="27"/>
        <v>76418</v>
      </c>
      <c r="X13" s="417">
        <f t="shared" si="28"/>
        <v>821976</v>
      </c>
      <c r="Y13" s="417">
        <f t="shared" si="29"/>
        <v>98050</v>
      </c>
      <c r="Z13" s="417">
        <f t="shared" si="30"/>
        <v>216983</v>
      </c>
      <c r="AA13" s="417">
        <f t="shared" si="31"/>
        <v>23283</v>
      </c>
      <c r="AB13" s="417">
        <f t="shared" si="32"/>
        <v>7037</v>
      </c>
      <c r="AC13" s="417">
        <f t="shared" si="33"/>
        <v>6588</v>
      </c>
      <c r="AD13" s="417">
        <f t="shared" si="34"/>
        <v>42099</v>
      </c>
      <c r="AE13" s="417">
        <f t="shared" si="35"/>
        <v>132216</v>
      </c>
      <c r="AF13" s="417">
        <f t="shared" si="36"/>
        <v>29317</v>
      </c>
      <c r="AG13" s="417">
        <f t="shared" si="37"/>
        <v>19190</v>
      </c>
      <c r="AH13" s="417">
        <f t="shared" si="38"/>
        <v>7028</v>
      </c>
      <c r="AI13" s="417">
        <f t="shared" si="39"/>
        <v>14374</v>
      </c>
      <c r="AJ13" s="417">
        <f t="shared" si="40"/>
        <v>26366</v>
      </c>
      <c r="AK13" s="417">
        <f t="shared" si="41"/>
        <v>1903381</v>
      </c>
      <c r="AL13" s="417">
        <f t="shared" si="42"/>
        <v>82668</v>
      </c>
      <c r="AM13" s="417">
        <f t="shared" si="43"/>
        <v>18264</v>
      </c>
      <c r="AN13" s="417">
        <f t="shared" si="44"/>
        <v>27685</v>
      </c>
      <c r="AO13" s="417">
        <f t="shared" si="45"/>
        <v>317748</v>
      </c>
      <c r="AP13" s="417">
        <f t="shared" si="46"/>
        <v>169845</v>
      </c>
      <c r="AQ13" s="417">
        <f t="shared" si="47"/>
        <v>293812</v>
      </c>
      <c r="AR13" s="417">
        <f t="shared" si="48"/>
        <v>16769</v>
      </c>
      <c r="AS13" s="417">
        <f t="shared" si="49"/>
        <v>866894</v>
      </c>
      <c r="AT13" s="417">
        <f t="shared" si="50"/>
        <v>1030945</v>
      </c>
      <c r="AU13" s="417">
        <f t="shared" si="51"/>
        <v>168448</v>
      </c>
      <c r="AV13" s="417">
        <f t="shared" si="52"/>
        <v>196777</v>
      </c>
      <c r="AW13" s="417">
        <f t="shared" si="53"/>
        <v>6408</v>
      </c>
      <c r="AX13" s="417">
        <f t="shared" si="54"/>
        <v>101441</v>
      </c>
      <c r="AY13" s="417">
        <f t="shared" si="55"/>
        <v>1318689</v>
      </c>
      <c r="AZ13" s="417">
        <f t="shared" si="56"/>
        <v>3963</v>
      </c>
      <c r="BA13" s="417">
        <f t="shared" si="57"/>
        <v>19621</v>
      </c>
      <c r="BB13" s="417">
        <f t="shared" si="58"/>
        <v>60228</v>
      </c>
      <c r="BC13" s="417">
        <f t="shared" si="59"/>
        <v>10755793</v>
      </c>
      <c r="BD13" s="292"/>
      <c r="BE13" s="408" t="s">
        <v>728</v>
      </c>
      <c r="BF13" s="418">
        <v>1617219</v>
      </c>
      <c r="BG13" s="418">
        <v>276515</v>
      </c>
      <c r="BH13" s="418">
        <v>58353</v>
      </c>
      <c r="BI13" s="418">
        <v>29933</v>
      </c>
      <c r="BJ13" s="418">
        <v>29946</v>
      </c>
      <c r="BK13" s="418">
        <v>66970</v>
      </c>
      <c r="BL13" s="418">
        <v>164204</v>
      </c>
      <c r="BM13" s="418">
        <v>45036</v>
      </c>
      <c r="BN13" s="418">
        <v>2483</v>
      </c>
      <c r="BO13" s="418">
        <v>25851</v>
      </c>
      <c r="BP13" s="418">
        <v>111245</v>
      </c>
      <c r="BQ13" s="418">
        <v>148152</v>
      </c>
      <c r="BR13" s="418">
        <v>18691</v>
      </c>
      <c r="BS13" s="418">
        <v>17603</v>
      </c>
      <c r="BT13" s="418">
        <v>381425</v>
      </c>
      <c r="BU13" s="418">
        <v>81121</v>
      </c>
      <c r="BV13" s="418">
        <v>143708</v>
      </c>
      <c r="BW13" s="418">
        <v>159711</v>
      </c>
      <c r="BX13" s="418">
        <v>52807</v>
      </c>
      <c r="BY13" s="418">
        <v>79980</v>
      </c>
      <c r="BZ13" s="418">
        <v>382456</v>
      </c>
      <c r="CA13" s="418">
        <v>76357</v>
      </c>
      <c r="CB13" s="418">
        <v>819530</v>
      </c>
      <c r="CC13" s="418">
        <v>93465</v>
      </c>
      <c r="CD13" s="418">
        <v>64218</v>
      </c>
      <c r="CE13" s="418">
        <v>21898</v>
      </c>
      <c r="CF13" s="418">
        <v>6693</v>
      </c>
      <c r="CG13" s="418">
        <v>4598</v>
      </c>
      <c r="CH13" s="418">
        <v>42099</v>
      </c>
      <c r="CI13" s="418">
        <v>130547</v>
      </c>
      <c r="CJ13" s="418">
        <v>28977</v>
      </c>
      <c r="CK13" s="418">
        <v>19190</v>
      </c>
      <c r="CL13" s="418">
        <v>6401</v>
      </c>
      <c r="CM13" s="418">
        <v>14374</v>
      </c>
      <c r="CN13" s="418">
        <v>26020</v>
      </c>
      <c r="CO13" s="418">
        <v>1736823</v>
      </c>
      <c r="CP13" s="418">
        <v>76696</v>
      </c>
      <c r="CQ13" s="418">
        <v>18203</v>
      </c>
      <c r="CR13" s="418">
        <v>27517</v>
      </c>
      <c r="CS13" s="418">
        <v>317748</v>
      </c>
      <c r="CT13" s="418">
        <v>169845</v>
      </c>
      <c r="CU13" s="418">
        <v>288493</v>
      </c>
      <c r="CV13" s="418">
        <v>16155</v>
      </c>
      <c r="CW13" s="418">
        <v>764920</v>
      </c>
      <c r="CX13" s="418">
        <v>622853</v>
      </c>
      <c r="CY13" s="418">
        <v>165918</v>
      </c>
      <c r="CZ13" s="418">
        <v>154184</v>
      </c>
      <c r="DA13" s="418">
        <v>6331</v>
      </c>
      <c r="DB13" s="418">
        <v>28287</v>
      </c>
      <c r="DC13" s="418">
        <v>642546</v>
      </c>
      <c r="DD13" s="418">
        <v>3963</v>
      </c>
      <c r="DE13" s="418">
        <v>19295</v>
      </c>
      <c r="DF13" s="418">
        <v>48720</v>
      </c>
      <c r="DG13" s="418">
        <v>7002231</v>
      </c>
      <c r="DI13" s="419" t="s">
        <v>728</v>
      </c>
      <c r="DJ13" s="420">
        <v>2242389</v>
      </c>
      <c r="DK13" s="420">
        <v>16084</v>
      </c>
      <c r="DL13" s="420">
        <v>14147</v>
      </c>
      <c r="DM13" s="420">
        <v>4784</v>
      </c>
      <c r="DN13" s="420">
        <v>8035</v>
      </c>
      <c r="DO13" s="420">
        <v>9028</v>
      </c>
      <c r="DP13" s="420">
        <v>83300</v>
      </c>
      <c r="DQ13" s="420">
        <v>14552</v>
      </c>
      <c r="DR13" s="420">
        <v>20806</v>
      </c>
      <c r="DS13" s="420">
        <v>21785</v>
      </c>
      <c r="DT13" s="420">
        <v>56193</v>
      </c>
      <c r="DU13" s="420">
        <v>57587</v>
      </c>
      <c r="DV13" s="420">
        <v>4273</v>
      </c>
      <c r="DW13" s="420">
        <v>4746</v>
      </c>
      <c r="DX13" s="420">
        <v>147690</v>
      </c>
      <c r="DY13" s="420">
        <v>26221</v>
      </c>
      <c r="DZ13" s="420">
        <v>65210</v>
      </c>
      <c r="EA13" s="420">
        <v>1641235</v>
      </c>
      <c r="EB13" s="420">
        <v>1746</v>
      </c>
      <c r="EC13" s="420">
        <v>61051</v>
      </c>
      <c r="ED13" s="420">
        <v>0</v>
      </c>
      <c r="EE13" s="420">
        <v>61</v>
      </c>
      <c r="EF13" s="420">
        <v>2446</v>
      </c>
      <c r="EG13" s="420">
        <v>4585</v>
      </c>
      <c r="EH13" s="420">
        <v>152765</v>
      </c>
      <c r="EI13" s="420">
        <v>1385</v>
      </c>
      <c r="EJ13" s="420">
        <v>344</v>
      </c>
      <c r="EK13" s="420">
        <v>1990</v>
      </c>
      <c r="EL13" s="420">
        <v>0</v>
      </c>
      <c r="EM13" s="420">
        <v>1669</v>
      </c>
      <c r="EN13" s="420">
        <v>340</v>
      </c>
      <c r="EO13" s="420">
        <v>0</v>
      </c>
      <c r="EP13" s="420">
        <v>627</v>
      </c>
      <c r="EQ13" s="420">
        <v>0</v>
      </c>
      <c r="ER13" s="420">
        <v>346</v>
      </c>
      <c r="ES13" s="420">
        <v>166558</v>
      </c>
      <c r="ET13" s="420">
        <v>5972</v>
      </c>
      <c r="EU13" s="420">
        <v>61</v>
      </c>
      <c r="EV13" s="420">
        <v>168</v>
      </c>
      <c r="EW13" s="420">
        <v>0</v>
      </c>
      <c r="EX13" s="420">
        <v>0</v>
      </c>
      <c r="EY13" s="420">
        <v>5319</v>
      </c>
      <c r="EZ13" s="420">
        <v>614</v>
      </c>
      <c r="FA13" s="420">
        <v>101974</v>
      </c>
      <c r="FB13" s="420">
        <v>408092</v>
      </c>
      <c r="FC13" s="420">
        <v>2530</v>
      </c>
      <c r="FD13" s="420">
        <v>42593</v>
      </c>
      <c r="FE13" s="420">
        <v>77</v>
      </c>
      <c r="FF13" s="420">
        <v>73154</v>
      </c>
      <c r="FG13" s="420">
        <v>676143</v>
      </c>
      <c r="FH13" s="420">
        <v>0</v>
      </c>
      <c r="FI13" s="420">
        <v>326</v>
      </c>
      <c r="FJ13" s="420">
        <v>11508</v>
      </c>
      <c r="FK13" s="421">
        <v>3753562</v>
      </c>
    </row>
    <row r="14" spans="1:167" x14ac:dyDescent="0.35">
      <c r="A14" s="408" t="s">
        <v>729</v>
      </c>
      <c r="B14" s="417">
        <f t="shared" si="6"/>
        <v>1833115</v>
      </c>
      <c r="C14" s="417">
        <f t="shared" si="7"/>
        <v>9435</v>
      </c>
      <c r="D14" s="417">
        <f t="shared" si="8"/>
        <v>5542</v>
      </c>
      <c r="E14" s="417">
        <f t="shared" si="9"/>
        <v>2131</v>
      </c>
      <c r="F14" s="417">
        <f t="shared" si="10"/>
        <v>2752</v>
      </c>
      <c r="G14" s="417">
        <f t="shared" si="11"/>
        <v>15623</v>
      </c>
      <c r="H14" s="417">
        <f t="shared" si="12"/>
        <v>30298</v>
      </c>
      <c r="I14" s="417">
        <f t="shared" si="13"/>
        <v>5957</v>
      </c>
      <c r="J14" s="417">
        <f t="shared" si="14"/>
        <v>4746</v>
      </c>
      <c r="K14" s="417">
        <f t="shared" si="15"/>
        <v>11533</v>
      </c>
      <c r="L14" s="417">
        <f t="shared" si="16"/>
        <v>9988</v>
      </c>
      <c r="M14" s="417">
        <f t="shared" si="17"/>
        <v>37796</v>
      </c>
      <c r="N14" s="417">
        <f t="shared" si="18"/>
        <v>5730</v>
      </c>
      <c r="O14" s="417">
        <f t="shared" si="19"/>
        <v>7316</v>
      </c>
      <c r="P14" s="417">
        <f t="shared" si="20"/>
        <v>229115</v>
      </c>
      <c r="Q14" s="417">
        <f t="shared" si="21"/>
        <v>40840</v>
      </c>
      <c r="R14" s="417">
        <f t="shared" si="22"/>
        <v>54295</v>
      </c>
      <c r="S14" s="417">
        <f t="shared" si="23"/>
        <v>1339620</v>
      </c>
      <c r="T14" s="417">
        <f t="shared" si="24"/>
        <v>1636</v>
      </c>
      <c r="U14" s="417">
        <f t="shared" si="25"/>
        <v>28197</v>
      </c>
      <c r="V14" s="417">
        <f t="shared" si="26"/>
        <v>28842</v>
      </c>
      <c r="W14" s="417">
        <f t="shared" si="27"/>
        <v>5641</v>
      </c>
      <c r="X14" s="417">
        <f t="shared" si="28"/>
        <v>155896</v>
      </c>
      <c r="Y14" s="417">
        <f t="shared" si="29"/>
        <v>11635</v>
      </c>
      <c r="Z14" s="417">
        <f t="shared" si="30"/>
        <v>114564</v>
      </c>
      <c r="AA14" s="417">
        <f t="shared" si="31"/>
        <v>3784</v>
      </c>
      <c r="AB14" s="417">
        <f t="shared" si="32"/>
        <v>1324</v>
      </c>
      <c r="AC14" s="417">
        <f t="shared" si="33"/>
        <v>617</v>
      </c>
      <c r="AD14" s="417">
        <f t="shared" si="34"/>
        <v>45221</v>
      </c>
      <c r="AE14" s="417">
        <f t="shared" si="35"/>
        <v>51311</v>
      </c>
      <c r="AF14" s="417">
        <f t="shared" si="36"/>
        <v>11065</v>
      </c>
      <c r="AG14" s="417">
        <f t="shared" si="37"/>
        <v>5858</v>
      </c>
      <c r="AH14" s="417">
        <f t="shared" si="38"/>
        <v>1420</v>
      </c>
      <c r="AI14" s="417">
        <f t="shared" si="39"/>
        <v>952</v>
      </c>
      <c r="AJ14" s="417">
        <f t="shared" si="40"/>
        <v>3031</v>
      </c>
      <c r="AK14" s="417">
        <f t="shared" si="41"/>
        <v>441161</v>
      </c>
      <c r="AL14" s="417">
        <f t="shared" si="42"/>
        <v>6074</v>
      </c>
      <c r="AM14" s="417">
        <f t="shared" si="43"/>
        <v>1182</v>
      </c>
      <c r="AN14" s="417">
        <f t="shared" si="44"/>
        <v>3147</v>
      </c>
      <c r="AO14" s="417">
        <f t="shared" si="45"/>
        <v>91178</v>
      </c>
      <c r="AP14" s="417">
        <f t="shared" si="46"/>
        <v>24132</v>
      </c>
      <c r="AQ14" s="417">
        <f t="shared" si="47"/>
        <v>29592</v>
      </c>
      <c r="AR14" s="417">
        <f t="shared" si="48"/>
        <v>1138</v>
      </c>
      <c r="AS14" s="417">
        <f t="shared" si="49"/>
        <v>615114</v>
      </c>
      <c r="AT14" s="417">
        <f t="shared" si="50"/>
        <v>641549</v>
      </c>
      <c r="AU14" s="417">
        <f t="shared" si="51"/>
        <v>5732</v>
      </c>
      <c r="AV14" s="417">
        <f t="shared" si="52"/>
        <v>112317</v>
      </c>
      <c r="AW14" s="417">
        <f t="shared" si="53"/>
        <v>40382</v>
      </c>
      <c r="AX14" s="417">
        <f t="shared" si="54"/>
        <v>4283</v>
      </c>
      <c r="AY14" s="417">
        <f t="shared" si="55"/>
        <v>28605</v>
      </c>
      <c r="AZ14" s="417">
        <f t="shared" si="56"/>
        <v>1555</v>
      </c>
      <c r="BA14" s="417">
        <f t="shared" si="57"/>
        <v>2357</v>
      </c>
      <c r="BB14" s="417">
        <f t="shared" si="58"/>
        <v>9287</v>
      </c>
      <c r="BC14" s="417">
        <f t="shared" si="59"/>
        <v>3901335</v>
      </c>
      <c r="BD14" s="292"/>
      <c r="BE14" s="408" t="s">
        <v>729</v>
      </c>
      <c r="BF14" s="418">
        <v>360189</v>
      </c>
      <c r="BG14" s="418">
        <v>8403</v>
      </c>
      <c r="BH14" s="418">
        <v>4439</v>
      </c>
      <c r="BI14" s="418">
        <v>1811</v>
      </c>
      <c r="BJ14" s="418">
        <v>2175</v>
      </c>
      <c r="BK14" s="418">
        <v>14126</v>
      </c>
      <c r="BL14" s="418">
        <v>22759</v>
      </c>
      <c r="BM14" s="418">
        <v>4292</v>
      </c>
      <c r="BN14" s="418">
        <v>318</v>
      </c>
      <c r="BO14" s="418">
        <v>4405</v>
      </c>
      <c r="BP14" s="418">
        <v>4586</v>
      </c>
      <c r="BQ14" s="418">
        <v>26243</v>
      </c>
      <c r="BR14" s="418">
        <v>4702</v>
      </c>
      <c r="BS14" s="418">
        <v>5560</v>
      </c>
      <c r="BT14" s="418">
        <v>168240</v>
      </c>
      <c r="BU14" s="418">
        <v>28932</v>
      </c>
      <c r="BV14" s="418">
        <v>39289</v>
      </c>
      <c r="BW14" s="418">
        <v>21401</v>
      </c>
      <c r="BX14" s="418">
        <v>1206</v>
      </c>
      <c r="BY14" s="418">
        <v>5705</v>
      </c>
      <c r="BZ14" s="418">
        <v>28842</v>
      </c>
      <c r="CA14" s="418">
        <v>5633</v>
      </c>
      <c r="CB14" s="418">
        <v>155564</v>
      </c>
      <c r="CC14" s="418">
        <v>11014</v>
      </c>
      <c r="CD14" s="418">
        <v>20520</v>
      </c>
      <c r="CE14" s="418">
        <v>3341</v>
      </c>
      <c r="CF14" s="418">
        <v>1244</v>
      </c>
      <c r="CG14" s="418">
        <v>234</v>
      </c>
      <c r="CH14" s="418">
        <v>45221</v>
      </c>
      <c r="CI14" s="418">
        <v>50529</v>
      </c>
      <c r="CJ14" s="418">
        <v>10468</v>
      </c>
      <c r="CK14" s="418">
        <v>5858</v>
      </c>
      <c r="CL14" s="418">
        <v>1231</v>
      </c>
      <c r="CM14" s="418">
        <v>952</v>
      </c>
      <c r="CN14" s="418">
        <v>2987</v>
      </c>
      <c r="CO14" s="418">
        <v>343638</v>
      </c>
      <c r="CP14" s="418">
        <v>5739</v>
      </c>
      <c r="CQ14" s="418">
        <v>1178</v>
      </c>
      <c r="CR14" s="418">
        <v>3031</v>
      </c>
      <c r="CS14" s="418">
        <v>91178</v>
      </c>
      <c r="CT14" s="418">
        <v>24132</v>
      </c>
      <c r="CU14" s="418">
        <v>26715</v>
      </c>
      <c r="CV14" s="418">
        <v>1116</v>
      </c>
      <c r="CW14" s="418">
        <v>533389</v>
      </c>
      <c r="CX14" s="418">
        <v>318310</v>
      </c>
      <c r="CY14" s="418">
        <v>5385</v>
      </c>
      <c r="CZ14" s="418">
        <v>87207</v>
      </c>
      <c r="DA14" s="418">
        <v>34494</v>
      </c>
      <c r="DB14" s="418">
        <v>881</v>
      </c>
      <c r="DC14" s="418">
        <v>25913</v>
      </c>
      <c r="DD14" s="418">
        <v>1555</v>
      </c>
      <c r="DE14" s="418">
        <v>1841</v>
      </c>
      <c r="DF14" s="418">
        <v>6906</v>
      </c>
      <c r="DG14" s="418">
        <v>1881200</v>
      </c>
      <c r="DI14" s="419" t="s">
        <v>729</v>
      </c>
      <c r="DJ14" s="420">
        <v>1472926</v>
      </c>
      <c r="DK14" s="420">
        <v>1032</v>
      </c>
      <c r="DL14" s="420">
        <v>1103</v>
      </c>
      <c r="DM14" s="420">
        <v>320</v>
      </c>
      <c r="DN14" s="420">
        <v>577</v>
      </c>
      <c r="DO14" s="420">
        <v>1497</v>
      </c>
      <c r="DP14" s="420">
        <v>7539</v>
      </c>
      <c r="DQ14" s="420">
        <v>1665</v>
      </c>
      <c r="DR14" s="420">
        <v>4428</v>
      </c>
      <c r="DS14" s="420">
        <v>7128</v>
      </c>
      <c r="DT14" s="420">
        <v>5402</v>
      </c>
      <c r="DU14" s="420">
        <v>11553</v>
      </c>
      <c r="DV14" s="420">
        <v>1028</v>
      </c>
      <c r="DW14" s="420">
        <v>1756</v>
      </c>
      <c r="DX14" s="420">
        <v>60875</v>
      </c>
      <c r="DY14" s="420">
        <v>11908</v>
      </c>
      <c r="DZ14" s="420">
        <v>15006</v>
      </c>
      <c r="EA14" s="420">
        <v>1318219</v>
      </c>
      <c r="EB14" s="420">
        <v>430</v>
      </c>
      <c r="EC14" s="420">
        <v>22492</v>
      </c>
      <c r="ED14" s="420">
        <v>0</v>
      </c>
      <c r="EE14" s="420">
        <v>8</v>
      </c>
      <c r="EF14" s="420">
        <v>332</v>
      </c>
      <c r="EG14" s="420">
        <v>621</v>
      </c>
      <c r="EH14" s="420">
        <v>94044</v>
      </c>
      <c r="EI14" s="420">
        <v>443</v>
      </c>
      <c r="EJ14" s="420">
        <v>80</v>
      </c>
      <c r="EK14" s="420">
        <v>383</v>
      </c>
      <c r="EL14" s="420">
        <v>0</v>
      </c>
      <c r="EM14" s="420">
        <v>782</v>
      </c>
      <c r="EN14" s="420">
        <v>597</v>
      </c>
      <c r="EO14" s="420">
        <v>0</v>
      </c>
      <c r="EP14" s="420">
        <v>189</v>
      </c>
      <c r="EQ14" s="420">
        <v>0</v>
      </c>
      <c r="ER14" s="420">
        <v>44</v>
      </c>
      <c r="ES14" s="420">
        <v>97523</v>
      </c>
      <c r="ET14" s="420">
        <v>335</v>
      </c>
      <c r="EU14" s="420">
        <v>4</v>
      </c>
      <c r="EV14" s="420">
        <v>116</v>
      </c>
      <c r="EW14" s="420">
        <v>0</v>
      </c>
      <c r="EX14" s="420">
        <v>0</v>
      </c>
      <c r="EY14" s="420">
        <v>2877</v>
      </c>
      <c r="EZ14" s="420">
        <v>22</v>
      </c>
      <c r="FA14" s="420">
        <v>81725</v>
      </c>
      <c r="FB14" s="420">
        <v>323239</v>
      </c>
      <c r="FC14" s="420">
        <v>347</v>
      </c>
      <c r="FD14" s="420">
        <v>25110</v>
      </c>
      <c r="FE14" s="420">
        <v>5888</v>
      </c>
      <c r="FF14" s="420">
        <v>3402</v>
      </c>
      <c r="FG14" s="420">
        <v>2692</v>
      </c>
      <c r="FH14" s="420">
        <v>0</v>
      </c>
      <c r="FI14" s="420">
        <v>516</v>
      </c>
      <c r="FJ14" s="420">
        <v>2381</v>
      </c>
      <c r="FK14" s="421">
        <v>2020135</v>
      </c>
    </row>
    <row r="15" spans="1:167" x14ac:dyDescent="0.35">
      <c r="A15" s="408" t="s">
        <v>730</v>
      </c>
      <c r="B15" s="417">
        <f t="shared" si="6"/>
        <v>1250520</v>
      </c>
      <c r="C15" s="417">
        <f t="shared" si="7"/>
        <v>28015</v>
      </c>
      <c r="D15" s="417">
        <f t="shared" si="8"/>
        <v>7340</v>
      </c>
      <c r="E15" s="417">
        <f t="shared" si="9"/>
        <v>9095</v>
      </c>
      <c r="F15" s="417">
        <f t="shared" si="10"/>
        <v>8079</v>
      </c>
      <c r="G15" s="417">
        <f t="shared" si="11"/>
        <v>174</v>
      </c>
      <c r="H15" s="417">
        <f t="shared" si="12"/>
        <v>113479</v>
      </c>
      <c r="I15" s="417">
        <f t="shared" si="13"/>
        <v>170523</v>
      </c>
      <c r="J15" s="417">
        <f t="shared" si="14"/>
        <v>202</v>
      </c>
      <c r="K15" s="417">
        <f t="shared" si="15"/>
        <v>16080</v>
      </c>
      <c r="L15" s="417">
        <f t="shared" si="16"/>
        <v>375746</v>
      </c>
      <c r="M15" s="417">
        <f t="shared" si="17"/>
        <v>27336</v>
      </c>
      <c r="N15" s="417">
        <f t="shared" si="18"/>
        <v>383378</v>
      </c>
      <c r="O15" s="417">
        <f t="shared" si="19"/>
        <v>1748</v>
      </c>
      <c r="P15" s="417">
        <f t="shared" si="20"/>
        <v>7736</v>
      </c>
      <c r="Q15" s="417">
        <f t="shared" si="21"/>
        <v>1334</v>
      </c>
      <c r="R15" s="417">
        <f t="shared" si="22"/>
        <v>364</v>
      </c>
      <c r="S15" s="417">
        <f t="shared" si="23"/>
        <v>12346</v>
      </c>
      <c r="T15" s="417">
        <f t="shared" si="24"/>
        <v>637</v>
      </c>
      <c r="U15" s="417">
        <f t="shared" si="25"/>
        <v>114923</v>
      </c>
      <c r="V15" s="417">
        <f t="shared" si="26"/>
        <v>586670</v>
      </c>
      <c r="W15" s="417">
        <f t="shared" si="27"/>
        <v>4272</v>
      </c>
      <c r="X15" s="417">
        <f t="shared" si="28"/>
        <v>23789</v>
      </c>
      <c r="Y15" s="417">
        <f t="shared" si="29"/>
        <v>2496</v>
      </c>
      <c r="Z15" s="417">
        <f t="shared" si="30"/>
        <v>7454</v>
      </c>
      <c r="AA15" s="417">
        <f t="shared" si="31"/>
        <v>1692</v>
      </c>
      <c r="AB15" s="417">
        <f t="shared" si="32"/>
        <v>10287</v>
      </c>
      <c r="AC15" s="417">
        <f t="shared" si="33"/>
        <v>1769</v>
      </c>
      <c r="AD15" s="417">
        <f t="shared" si="34"/>
        <v>251</v>
      </c>
      <c r="AE15" s="417">
        <f t="shared" si="35"/>
        <v>53859</v>
      </c>
      <c r="AF15" s="417">
        <f t="shared" si="36"/>
        <v>9937</v>
      </c>
      <c r="AG15" s="417">
        <f t="shared" si="37"/>
        <v>12110</v>
      </c>
      <c r="AH15" s="417">
        <f t="shared" si="38"/>
        <v>35875</v>
      </c>
      <c r="AI15" s="417">
        <f t="shared" si="39"/>
        <v>12000</v>
      </c>
      <c r="AJ15" s="417">
        <f t="shared" si="40"/>
        <v>62505</v>
      </c>
      <c r="AK15" s="417">
        <f t="shared" si="41"/>
        <v>824966</v>
      </c>
      <c r="AL15" s="417">
        <f t="shared" si="42"/>
        <v>1465</v>
      </c>
      <c r="AM15" s="417">
        <f t="shared" si="43"/>
        <v>50</v>
      </c>
      <c r="AN15" s="417">
        <f t="shared" si="44"/>
        <v>749</v>
      </c>
      <c r="AO15" s="417">
        <f t="shared" si="45"/>
        <v>25828</v>
      </c>
      <c r="AP15" s="417">
        <f t="shared" si="46"/>
        <v>480</v>
      </c>
      <c r="AQ15" s="417">
        <f t="shared" si="47"/>
        <v>2461</v>
      </c>
      <c r="AR15" s="417">
        <f t="shared" si="48"/>
        <v>10236</v>
      </c>
      <c r="AS15" s="417">
        <f t="shared" si="49"/>
        <v>2808</v>
      </c>
      <c r="AT15" s="417">
        <f t="shared" si="50"/>
        <v>9501</v>
      </c>
      <c r="AU15" s="417">
        <f t="shared" si="51"/>
        <v>58514</v>
      </c>
      <c r="AV15" s="417">
        <f t="shared" si="52"/>
        <v>1024</v>
      </c>
      <c r="AW15" s="417">
        <f t="shared" si="53"/>
        <v>162</v>
      </c>
      <c r="AX15" s="417">
        <f t="shared" si="54"/>
        <v>8</v>
      </c>
      <c r="AY15" s="417">
        <f t="shared" si="55"/>
        <v>2922</v>
      </c>
      <c r="AZ15" s="417">
        <f t="shared" si="56"/>
        <v>21</v>
      </c>
      <c r="BA15" s="417">
        <f t="shared" si="57"/>
        <v>16</v>
      </c>
      <c r="BB15" s="417">
        <f t="shared" si="58"/>
        <v>6186</v>
      </c>
      <c r="BC15" s="417">
        <f t="shared" si="59"/>
        <v>2225932</v>
      </c>
      <c r="BD15" s="292"/>
      <c r="BE15" s="408" t="s">
        <v>730</v>
      </c>
      <c r="BF15" s="418">
        <v>1026485</v>
      </c>
      <c r="BG15" s="418">
        <v>25527</v>
      </c>
      <c r="BH15" s="418">
        <v>5940</v>
      </c>
      <c r="BI15" s="418">
        <v>7071</v>
      </c>
      <c r="BJ15" s="418">
        <v>6901</v>
      </c>
      <c r="BK15" s="418">
        <v>171</v>
      </c>
      <c r="BL15" s="418">
        <v>85639</v>
      </c>
      <c r="BM15" s="418">
        <v>120470</v>
      </c>
      <c r="BN15" s="418">
        <v>138</v>
      </c>
      <c r="BO15" s="418">
        <v>5265</v>
      </c>
      <c r="BP15" s="418">
        <v>289019</v>
      </c>
      <c r="BQ15" s="418">
        <v>19750</v>
      </c>
      <c r="BR15" s="418">
        <v>369867</v>
      </c>
      <c r="BS15" s="418">
        <v>1725</v>
      </c>
      <c r="BT15" s="418">
        <v>4961</v>
      </c>
      <c r="BU15" s="418">
        <v>1192</v>
      </c>
      <c r="BV15" s="418">
        <v>339</v>
      </c>
      <c r="BW15" s="418">
        <v>2581</v>
      </c>
      <c r="BX15" s="418">
        <v>428</v>
      </c>
      <c r="BY15" s="418">
        <v>105028</v>
      </c>
      <c r="BZ15" s="418">
        <v>586670</v>
      </c>
      <c r="CA15" s="418">
        <v>4272</v>
      </c>
      <c r="CB15" s="418">
        <v>23789</v>
      </c>
      <c r="CC15" s="418">
        <v>2489</v>
      </c>
      <c r="CD15" s="418">
        <v>3153</v>
      </c>
      <c r="CE15" s="418">
        <v>1692</v>
      </c>
      <c r="CF15" s="418">
        <v>10286</v>
      </c>
      <c r="CG15" s="418">
        <v>1767</v>
      </c>
      <c r="CH15" s="418">
        <v>251</v>
      </c>
      <c r="CI15" s="418">
        <v>53859</v>
      </c>
      <c r="CJ15" s="418">
        <v>9937</v>
      </c>
      <c r="CK15" s="418">
        <v>12110</v>
      </c>
      <c r="CL15" s="418">
        <v>35862</v>
      </c>
      <c r="CM15" s="418">
        <v>12000</v>
      </c>
      <c r="CN15" s="418">
        <v>62408</v>
      </c>
      <c r="CO15" s="418">
        <v>820545</v>
      </c>
      <c r="CP15" s="418">
        <v>1190</v>
      </c>
      <c r="CQ15" s="418">
        <v>50</v>
      </c>
      <c r="CR15" s="418">
        <v>749</v>
      </c>
      <c r="CS15" s="418">
        <v>25828</v>
      </c>
      <c r="CT15" s="418">
        <v>480</v>
      </c>
      <c r="CU15" s="418">
        <v>2349</v>
      </c>
      <c r="CV15" s="418">
        <v>10151</v>
      </c>
      <c r="CW15" s="418">
        <v>2690</v>
      </c>
      <c r="CX15" s="418">
        <v>9045</v>
      </c>
      <c r="CY15" s="418">
        <v>58349</v>
      </c>
      <c r="CZ15" s="418">
        <v>1024</v>
      </c>
      <c r="DA15" s="418">
        <v>162</v>
      </c>
      <c r="DB15" s="418">
        <v>6</v>
      </c>
      <c r="DC15" s="418">
        <v>2922</v>
      </c>
      <c r="DD15" s="418">
        <v>21</v>
      </c>
      <c r="DE15" s="418">
        <v>16</v>
      </c>
      <c r="DF15" s="418">
        <v>4479</v>
      </c>
      <c r="DG15" s="418">
        <v>1992068</v>
      </c>
      <c r="DI15" s="419" t="s">
        <v>730</v>
      </c>
      <c r="DJ15" s="420">
        <v>224035</v>
      </c>
      <c r="DK15" s="420">
        <v>2488</v>
      </c>
      <c r="DL15" s="420">
        <v>1400</v>
      </c>
      <c r="DM15" s="420">
        <v>2024</v>
      </c>
      <c r="DN15" s="420">
        <v>1178</v>
      </c>
      <c r="DO15" s="420">
        <v>3</v>
      </c>
      <c r="DP15" s="420">
        <v>27840</v>
      </c>
      <c r="DQ15" s="420">
        <v>50053</v>
      </c>
      <c r="DR15" s="420">
        <v>64</v>
      </c>
      <c r="DS15" s="420">
        <v>10815</v>
      </c>
      <c r="DT15" s="420">
        <v>86727</v>
      </c>
      <c r="DU15" s="420">
        <v>7586</v>
      </c>
      <c r="DV15" s="420">
        <v>13511</v>
      </c>
      <c r="DW15" s="420">
        <v>23</v>
      </c>
      <c r="DX15" s="420">
        <v>2775</v>
      </c>
      <c r="DY15" s="420">
        <v>142</v>
      </c>
      <c r="DZ15" s="420">
        <v>25</v>
      </c>
      <c r="EA15" s="420">
        <v>9765</v>
      </c>
      <c r="EB15" s="420">
        <v>209</v>
      </c>
      <c r="EC15" s="420">
        <v>9895</v>
      </c>
      <c r="ED15" s="420">
        <v>0</v>
      </c>
      <c r="EE15" s="420">
        <v>0</v>
      </c>
      <c r="EF15" s="420">
        <v>0</v>
      </c>
      <c r="EG15" s="420">
        <v>7</v>
      </c>
      <c r="EH15" s="420">
        <v>4301</v>
      </c>
      <c r="EI15" s="420">
        <v>0</v>
      </c>
      <c r="EJ15" s="420">
        <v>1</v>
      </c>
      <c r="EK15" s="420">
        <v>2</v>
      </c>
      <c r="EL15" s="420">
        <v>0</v>
      </c>
      <c r="EM15" s="420">
        <v>0</v>
      </c>
      <c r="EN15" s="420">
        <v>0</v>
      </c>
      <c r="EO15" s="420">
        <v>0</v>
      </c>
      <c r="EP15" s="420">
        <v>13</v>
      </c>
      <c r="EQ15" s="420">
        <v>0</v>
      </c>
      <c r="ER15" s="420">
        <v>97</v>
      </c>
      <c r="ES15" s="420">
        <v>4421</v>
      </c>
      <c r="ET15" s="420">
        <v>275</v>
      </c>
      <c r="EU15" s="420">
        <v>0</v>
      </c>
      <c r="EV15" s="420">
        <v>0</v>
      </c>
      <c r="EW15" s="420">
        <v>0</v>
      </c>
      <c r="EX15" s="420">
        <v>0</v>
      </c>
      <c r="EY15" s="420">
        <v>112</v>
      </c>
      <c r="EZ15" s="420">
        <v>85</v>
      </c>
      <c r="FA15" s="420">
        <v>118</v>
      </c>
      <c r="FB15" s="420">
        <v>456</v>
      </c>
      <c r="FC15" s="420">
        <v>165</v>
      </c>
      <c r="FD15" s="420">
        <v>0</v>
      </c>
      <c r="FE15" s="420">
        <v>0</v>
      </c>
      <c r="FF15" s="420">
        <v>2</v>
      </c>
      <c r="FG15" s="420">
        <v>0</v>
      </c>
      <c r="FH15" s="420">
        <v>0</v>
      </c>
      <c r="FI15" s="420">
        <v>0</v>
      </c>
      <c r="FJ15" s="420">
        <v>1707</v>
      </c>
      <c r="FK15" s="421">
        <v>233864</v>
      </c>
    </row>
    <row r="16" spans="1:167" x14ac:dyDescent="0.35">
      <c r="A16" s="408" t="s">
        <v>731</v>
      </c>
      <c r="B16" s="417">
        <f t="shared" si="6"/>
        <v>378711</v>
      </c>
      <c r="C16" s="417">
        <f t="shared" si="7"/>
        <v>9937</v>
      </c>
      <c r="D16" s="417">
        <f t="shared" si="8"/>
        <v>4444</v>
      </c>
      <c r="E16" s="417">
        <f t="shared" si="9"/>
        <v>3377</v>
      </c>
      <c r="F16" s="417">
        <f t="shared" si="10"/>
        <v>5423</v>
      </c>
      <c r="G16" s="417">
        <f t="shared" si="11"/>
        <v>10677</v>
      </c>
      <c r="H16" s="417">
        <f t="shared" si="12"/>
        <v>68247</v>
      </c>
      <c r="I16" s="417">
        <f t="shared" si="13"/>
        <v>11713</v>
      </c>
      <c r="J16" s="417">
        <f t="shared" si="14"/>
        <v>1547</v>
      </c>
      <c r="K16" s="417">
        <f t="shared" si="15"/>
        <v>20736</v>
      </c>
      <c r="L16" s="417">
        <f t="shared" si="16"/>
        <v>15900</v>
      </c>
      <c r="M16" s="417">
        <f t="shared" si="17"/>
        <v>20499</v>
      </c>
      <c r="N16" s="417">
        <f t="shared" si="18"/>
        <v>4586</v>
      </c>
      <c r="O16" s="417">
        <f t="shared" si="19"/>
        <v>4808</v>
      </c>
      <c r="P16" s="417">
        <f t="shared" si="20"/>
        <v>45252</v>
      </c>
      <c r="Q16" s="417">
        <f t="shared" si="21"/>
        <v>12018</v>
      </c>
      <c r="R16" s="417">
        <f t="shared" si="22"/>
        <v>24050</v>
      </c>
      <c r="S16" s="417">
        <f t="shared" si="23"/>
        <v>98560</v>
      </c>
      <c r="T16" s="417">
        <f t="shared" si="24"/>
        <v>3553</v>
      </c>
      <c r="U16" s="417">
        <f t="shared" si="25"/>
        <v>23321</v>
      </c>
      <c r="V16" s="417">
        <f t="shared" si="26"/>
        <v>16444</v>
      </c>
      <c r="W16" s="417">
        <f t="shared" si="27"/>
        <v>2773</v>
      </c>
      <c r="X16" s="417">
        <f t="shared" si="28"/>
        <v>43374</v>
      </c>
      <c r="Y16" s="417">
        <f t="shared" si="29"/>
        <v>8789</v>
      </c>
      <c r="Z16" s="417">
        <f t="shared" si="30"/>
        <v>27401</v>
      </c>
      <c r="AA16" s="417">
        <f t="shared" si="31"/>
        <v>5695</v>
      </c>
      <c r="AB16" s="417">
        <f t="shared" si="32"/>
        <v>1931</v>
      </c>
      <c r="AC16" s="417">
        <f t="shared" si="33"/>
        <v>304</v>
      </c>
      <c r="AD16" s="417">
        <f t="shared" si="34"/>
        <v>2722</v>
      </c>
      <c r="AE16" s="417">
        <f t="shared" si="35"/>
        <v>23804</v>
      </c>
      <c r="AF16" s="417">
        <f t="shared" si="36"/>
        <v>4537</v>
      </c>
      <c r="AG16" s="417">
        <f t="shared" si="37"/>
        <v>3606</v>
      </c>
      <c r="AH16" s="417">
        <f t="shared" si="38"/>
        <v>2124</v>
      </c>
      <c r="AI16" s="417">
        <f t="shared" si="39"/>
        <v>4698</v>
      </c>
      <c r="AJ16" s="417">
        <f t="shared" si="40"/>
        <v>2585</v>
      </c>
      <c r="AK16" s="417">
        <f t="shared" si="41"/>
        <v>150787</v>
      </c>
      <c r="AL16" s="417">
        <f t="shared" si="42"/>
        <v>2647</v>
      </c>
      <c r="AM16" s="417">
        <f t="shared" si="43"/>
        <v>1025</v>
      </c>
      <c r="AN16" s="417">
        <f t="shared" si="44"/>
        <v>1710</v>
      </c>
      <c r="AO16" s="417">
        <f t="shared" si="45"/>
        <v>27212</v>
      </c>
      <c r="AP16" s="417">
        <f t="shared" si="46"/>
        <v>2826</v>
      </c>
      <c r="AQ16" s="417">
        <f t="shared" si="47"/>
        <v>42931</v>
      </c>
      <c r="AR16" s="417">
        <f t="shared" si="48"/>
        <v>161</v>
      </c>
      <c r="AS16" s="417">
        <f t="shared" si="49"/>
        <v>733829</v>
      </c>
      <c r="AT16" s="417">
        <f t="shared" si="50"/>
        <v>88548</v>
      </c>
      <c r="AU16" s="417">
        <f t="shared" si="51"/>
        <v>5802</v>
      </c>
      <c r="AV16" s="417">
        <f t="shared" si="52"/>
        <v>13644</v>
      </c>
      <c r="AW16" s="417">
        <f t="shared" si="53"/>
        <v>62</v>
      </c>
      <c r="AX16" s="417">
        <f t="shared" si="54"/>
        <v>1808</v>
      </c>
      <c r="AY16" s="417">
        <f t="shared" si="55"/>
        <v>31086</v>
      </c>
      <c r="AZ16" s="417">
        <f t="shared" si="56"/>
        <v>132</v>
      </c>
      <c r="BA16" s="417">
        <f t="shared" si="57"/>
        <v>327</v>
      </c>
      <c r="BB16" s="417">
        <f t="shared" si="58"/>
        <v>6968</v>
      </c>
      <c r="BC16" s="417">
        <f t="shared" si="59"/>
        <v>1500153</v>
      </c>
      <c r="BD16" s="292"/>
      <c r="BE16" s="408" t="s">
        <v>731</v>
      </c>
      <c r="BF16" s="418">
        <v>130321</v>
      </c>
      <c r="BG16" s="418">
        <v>6105</v>
      </c>
      <c r="BH16" s="418">
        <v>2355</v>
      </c>
      <c r="BI16" s="418">
        <v>1775</v>
      </c>
      <c r="BJ16" s="418">
        <v>2652</v>
      </c>
      <c r="BK16" s="418">
        <v>6549</v>
      </c>
      <c r="BL16" s="418">
        <v>30195</v>
      </c>
      <c r="BM16" s="418">
        <v>7154</v>
      </c>
      <c r="BN16" s="418">
        <v>238</v>
      </c>
      <c r="BO16" s="418">
        <v>4727</v>
      </c>
      <c r="BP16" s="418">
        <v>3531</v>
      </c>
      <c r="BQ16" s="418">
        <v>11298</v>
      </c>
      <c r="BR16" s="418">
        <v>1984</v>
      </c>
      <c r="BS16" s="418">
        <v>2399</v>
      </c>
      <c r="BT16" s="418">
        <v>14672</v>
      </c>
      <c r="BU16" s="418">
        <v>4894</v>
      </c>
      <c r="BV16" s="418">
        <v>9840</v>
      </c>
      <c r="BW16" s="418">
        <v>10753</v>
      </c>
      <c r="BX16" s="418">
        <v>2369</v>
      </c>
      <c r="BY16" s="418">
        <v>12936</v>
      </c>
      <c r="BZ16" s="418">
        <v>16444</v>
      </c>
      <c r="CA16" s="418">
        <v>2762</v>
      </c>
      <c r="CB16" s="418">
        <v>42808</v>
      </c>
      <c r="CC16" s="418">
        <v>6301</v>
      </c>
      <c r="CD16" s="418">
        <v>5740</v>
      </c>
      <c r="CE16" s="418">
        <v>4063</v>
      </c>
      <c r="CF16" s="418">
        <v>1754</v>
      </c>
      <c r="CG16" s="418">
        <v>77</v>
      </c>
      <c r="CH16" s="418">
        <v>2722</v>
      </c>
      <c r="CI16" s="418">
        <v>23707</v>
      </c>
      <c r="CJ16" s="418">
        <v>4305</v>
      </c>
      <c r="CK16" s="418">
        <v>3606</v>
      </c>
      <c r="CL16" s="418">
        <v>2024</v>
      </c>
      <c r="CM16" s="418">
        <v>4698</v>
      </c>
      <c r="CN16" s="418">
        <v>2525</v>
      </c>
      <c r="CO16" s="418">
        <v>123536</v>
      </c>
      <c r="CP16" s="418">
        <v>2180</v>
      </c>
      <c r="CQ16" s="418">
        <v>1001</v>
      </c>
      <c r="CR16" s="418">
        <v>1652</v>
      </c>
      <c r="CS16" s="418">
        <v>27212</v>
      </c>
      <c r="CT16" s="418">
        <v>2826</v>
      </c>
      <c r="CU16" s="418">
        <v>34195</v>
      </c>
      <c r="CV16" s="418">
        <v>148</v>
      </c>
      <c r="CW16" s="418">
        <v>620349</v>
      </c>
      <c r="CX16" s="418">
        <v>52122</v>
      </c>
      <c r="CY16" s="418">
        <v>5327</v>
      </c>
      <c r="CZ16" s="418">
        <v>6899</v>
      </c>
      <c r="DA16" s="418">
        <v>62</v>
      </c>
      <c r="DB16" s="418">
        <v>503</v>
      </c>
      <c r="DC16" s="418">
        <v>26436</v>
      </c>
      <c r="DD16" s="418">
        <v>132</v>
      </c>
      <c r="DE16" s="418">
        <v>312</v>
      </c>
      <c r="DF16" s="418">
        <v>6119</v>
      </c>
      <c r="DG16" s="418">
        <v>1047437</v>
      </c>
      <c r="DI16" s="419" t="s">
        <v>731</v>
      </c>
      <c r="DJ16" s="420">
        <v>248390</v>
      </c>
      <c r="DK16" s="420">
        <v>3832</v>
      </c>
      <c r="DL16" s="420">
        <v>2089</v>
      </c>
      <c r="DM16" s="420">
        <v>1602</v>
      </c>
      <c r="DN16" s="420">
        <v>2771</v>
      </c>
      <c r="DO16" s="420">
        <v>4128</v>
      </c>
      <c r="DP16" s="420">
        <v>38052</v>
      </c>
      <c r="DQ16" s="420">
        <v>4559</v>
      </c>
      <c r="DR16" s="420">
        <v>1309</v>
      </c>
      <c r="DS16" s="420">
        <v>16009</v>
      </c>
      <c r="DT16" s="420">
        <v>12369</v>
      </c>
      <c r="DU16" s="420">
        <v>9201</v>
      </c>
      <c r="DV16" s="420">
        <v>2602</v>
      </c>
      <c r="DW16" s="420">
        <v>2409</v>
      </c>
      <c r="DX16" s="420">
        <v>30580</v>
      </c>
      <c r="DY16" s="420">
        <v>7124</v>
      </c>
      <c r="DZ16" s="420">
        <v>14210</v>
      </c>
      <c r="EA16" s="420">
        <v>87807</v>
      </c>
      <c r="EB16" s="420">
        <v>1184</v>
      </c>
      <c r="EC16" s="420">
        <v>10385</v>
      </c>
      <c r="ED16" s="420">
        <v>0</v>
      </c>
      <c r="EE16" s="420">
        <v>11</v>
      </c>
      <c r="EF16" s="420">
        <v>566</v>
      </c>
      <c r="EG16" s="420">
        <v>2488</v>
      </c>
      <c r="EH16" s="420">
        <v>21661</v>
      </c>
      <c r="EI16" s="420">
        <v>1632</v>
      </c>
      <c r="EJ16" s="420">
        <v>177</v>
      </c>
      <c r="EK16" s="420">
        <v>227</v>
      </c>
      <c r="EL16" s="420">
        <v>0</v>
      </c>
      <c r="EM16" s="420">
        <v>97</v>
      </c>
      <c r="EN16" s="420">
        <v>232</v>
      </c>
      <c r="EO16" s="420">
        <v>0</v>
      </c>
      <c r="EP16" s="420">
        <v>100</v>
      </c>
      <c r="EQ16" s="420">
        <v>0</v>
      </c>
      <c r="ER16" s="420">
        <v>60</v>
      </c>
      <c r="ES16" s="420">
        <v>27251</v>
      </c>
      <c r="ET16" s="420">
        <v>467</v>
      </c>
      <c r="EU16" s="420">
        <v>24</v>
      </c>
      <c r="EV16" s="420">
        <v>58</v>
      </c>
      <c r="EW16" s="420">
        <v>0</v>
      </c>
      <c r="EX16" s="420">
        <v>0</v>
      </c>
      <c r="EY16" s="420">
        <v>8736</v>
      </c>
      <c r="EZ16" s="420">
        <v>13</v>
      </c>
      <c r="FA16" s="420">
        <v>113480</v>
      </c>
      <c r="FB16" s="420">
        <v>36426</v>
      </c>
      <c r="FC16" s="420">
        <v>475</v>
      </c>
      <c r="FD16" s="420">
        <v>6745</v>
      </c>
      <c r="FE16" s="420">
        <v>0</v>
      </c>
      <c r="FF16" s="420">
        <v>1305</v>
      </c>
      <c r="FG16" s="420">
        <v>4650</v>
      </c>
      <c r="FH16" s="420">
        <v>0</v>
      </c>
      <c r="FI16" s="420">
        <v>15</v>
      </c>
      <c r="FJ16" s="420">
        <v>849</v>
      </c>
      <c r="FK16" s="421">
        <v>452716</v>
      </c>
    </row>
    <row r="17" spans="1:167" x14ac:dyDescent="0.35">
      <c r="A17" s="408" t="s">
        <v>732</v>
      </c>
      <c r="B17" s="417">
        <f t="shared" si="6"/>
        <v>888537</v>
      </c>
      <c r="C17" s="417">
        <f t="shared" si="7"/>
        <v>34150</v>
      </c>
      <c r="D17" s="417">
        <f t="shared" si="8"/>
        <v>15950</v>
      </c>
      <c r="E17" s="417">
        <f t="shared" si="9"/>
        <v>11213</v>
      </c>
      <c r="F17" s="417">
        <f t="shared" si="10"/>
        <v>14217</v>
      </c>
      <c r="G17" s="417">
        <f t="shared" si="11"/>
        <v>39897</v>
      </c>
      <c r="H17" s="417">
        <f t="shared" si="12"/>
        <v>78775</v>
      </c>
      <c r="I17" s="417">
        <f t="shared" si="13"/>
        <v>23885</v>
      </c>
      <c r="J17" s="417">
        <f t="shared" si="14"/>
        <v>8021</v>
      </c>
      <c r="K17" s="417">
        <f t="shared" si="15"/>
        <v>13903</v>
      </c>
      <c r="L17" s="417">
        <f t="shared" si="16"/>
        <v>22712</v>
      </c>
      <c r="M17" s="417">
        <f t="shared" si="17"/>
        <v>22065</v>
      </c>
      <c r="N17" s="417">
        <f t="shared" si="18"/>
        <v>10028</v>
      </c>
      <c r="O17" s="417">
        <f t="shared" si="19"/>
        <v>12370</v>
      </c>
      <c r="P17" s="417">
        <f t="shared" si="20"/>
        <v>114359</v>
      </c>
      <c r="Q17" s="417">
        <f t="shared" si="21"/>
        <v>25886</v>
      </c>
      <c r="R17" s="417">
        <f t="shared" si="22"/>
        <v>59828</v>
      </c>
      <c r="S17" s="417">
        <f t="shared" si="23"/>
        <v>382571</v>
      </c>
      <c r="T17" s="417">
        <f t="shared" si="24"/>
        <v>4018</v>
      </c>
      <c r="U17" s="417">
        <f t="shared" si="25"/>
        <v>28839</v>
      </c>
      <c r="V17" s="417">
        <f t="shared" si="26"/>
        <v>305793</v>
      </c>
      <c r="W17" s="417">
        <f t="shared" si="27"/>
        <v>48345</v>
      </c>
      <c r="X17" s="417">
        <f t="shared" si="28"/>
        <v>894253</v>
      </c>
      <c r="Y17" s="417">
        <f t="shared" si="29"/>
        <v>110101</v>
      </c>
      <c r="Z17" s="417">
        <f t="shared" si="30"/>
        <v>154399</v>
      </c>
      <c r="AA17" s="417">
        <f t="shared" si="31"/>
        <v>25164</v>
      </c>
      <c r="AB17" s="417">
        <f t="shared" si="32"/>
        <v>8616</v>
      </c>
      <c r="AC17" s="417">
        <f t="shared" si="33"/>
        <v>787</v>
      </c>
      <c r="AD17" s="417">
        <f t="shared" si="34"/>
        <v>66311</v>
      </c>
      <c r="AE17" s="417">
        <f t="shared" si="35"/>
        <v>237931</v>
      </c>
      <c r="AF17" s="417">
        <f t="shared" si="36"/>
        <v>37400</v>
      </c>
      <c r="AG17" s="417">
        <f t="shared" si="37"/>
        <v>36805</v>
      </c>
      <c r="AH17" s="417">
        <f t="shared" si="38"/>
        <v>9772</v>
      </c>
      <c r="AI17" s="417">
        <f t="shared" si="39"/>
        <v>4300</v>
      </c>
      <c r="AJ17" s="417">
        <f t="shared" si="40"/>
        <v>21844</v>
      </c>
      <c r="AK17" s="417">
        <f t="shared" si="41"/>
        <v>1961821</v>
      </c>
      <c r="AL17" s="417">
        <f t="shared" si="42"/>
        <v>15352</v>
      </c>
      <c r="AM17" s="417">
        <f t="shared" si="43"/>
        <v>3816</v>
      </c>
      <c r="AN17" s="417">
        <f t="shared" si="44"/>
        <v>2146</v>
      </c>
      <c r="AO17" s="417">
        <f t="shared" si="45"/>
        <v>19206</v>
      </c>
      <c r="AP17" s="417">
        <f t="shared" si="46"/>
        <v>12201</v>
      </c>
      <c r="AQ17" s="417">
        <f t="shared" si="47"/>
        <v>25932</v>
      </c>
      <c r="AR17" s="417">
        <f t="shared" si="48"/>
        <v>536</v>
      </c>
      <c r="AS17" s="417">
        <f t="shared" si="49"/>
        <v>79497</v>
      </c>
      <c r="AT17" s="417">
        <f t="shared" si="50"/>
        <v>140833</v>
      </c>
      <c r="AU17" s="417">
        <f t="shared" si="51"/>
        <v>12739</v>
      </c>
      <c r="AV17" s="417">
        <f t="shared" si="52"/>
        <v>4461</v>
      </c>
      <c r="AW17" s="417">
        <f t="shared" si="53"/>
        <v>22</v>
      </c>
      <c r="AX17" s="417">
        <f t="shared" si="54"/>
        <v>304</v>
      </c>
      <c r="AY17" s="417">
        <f t="shared" si="55"/>
        <v>11550</v>
      </c>
      <c r="AZ17" s="417">
        <f t="shared" si="56"/>
        <v>213</v>
      </c>
      <c r="BA17" s="417">
        <f t="shared" si="57"/>
        <v>486</v>
      </c>
      <c r="BB17" s="417">
        <f t="shared" si="58"/>
        <v>13117</v>
      </c>
      <c r="BC17" s="417">
        <f t="shared" si="59"/>
        <v>3226919</v>
      </c>
      <c r="BD17" s="292"/>
      <c r="BE17" s="408" t="s">
        <v>732</v>
      </c>
      <c r="BF17" s="418">
        <v>483357</v>
      </c>
      <c r="BG17" s="418">
        <v>34130</v>
      </c>
      <c r="BH17" s="418">
        <v>15019</v>
      </c>
      <c r="BI17" s="418">
        <v>10767</v>
      </c>
      <c r="BJ17" s="418">
        <v>13274</v>
      </c>
      <c r="BK17" s="418">
        <v>39817</v>
      </c>
      <c r="BL17" s="418">
        <v>73937</v>
      </c>
      <c r="BM17" s="418">
        <v>21783</v>
      </c>
      <c r="BN17" s="418">
        <v>1719</v>
      </c>
      <c r="BO17" s="418">
        <v>12556</v>
      </c>
      <c r="BP17" s="418">
        <v>17860</v>
      </c>
      <c r="BQ17" s="418">
        <v>20438</v>
      </c>
      <c r="BR17" s="418">
        <v>9715</v>
      </c>
      <c r="BS17" s="418">
        <v>11481</v>
      </c>
      <c r="BT17" s="418">
        <v>103398</v>
      </c>
      <c r="BU17" s="418">
        <v>23893</v>
      </c>
      <c r="BV17" s="418">
        <v>53780</v>
      </c>
      <c r="BW17" s="418">
        <v>23324</v>
      </c>
      <c r="BX17" s="418">
        <v>3484</v>
      </c>
      <c r="BY17" s="418">
        <v>27112</v>
      </c>
      <c r="BZ17" s="418">
        <v>305793</v>
      </c>
      <c r="CA17" s="418">
        <v>48335</v>
      </c>
      <c r="CB17" s="418">
        <v>893733</v>
      </c>
      <c r="CC17" s="418">
        <v>106948</v>
      </c>
      <c r="CD17" s="418">
        <v>81429</v>
      </c>
      <c r="CE17" s="418">
        <v>24897</v>
      </c>
      <c r="CF17" s="418">
        <v>8144</v>
      </c>
      <c r="CG17" s="418">
        <v>540</v>
      </c>
      <c r="CH17" s="418">
        <v>66311</v>
      </c>
      <c r="CI17" s="418">
        <v>237325</v>
      </c>
      <c r="CJ17" s="418">
        <v>37245</v>
      </c>
      <c r="CK17" s="418">
        <v>36805</v>
      </c>
      <c r="CL17" s="418">
        <v>9646</v>
      </c>
      <c r="CM17" s="418">
        <v>4300</v>
      </c>
      <c r="CN17" s="418">
        <v>21844</v>
      </c>
      <c r="CO17" s="418">
        <v>1883295</v>
      </c>
      <c r="CP17" s="418">
        <v>15352</v>
      </c>
      <c r="CQ17" s="418">
        <v>3816</v>
      </c>
      <c r="CR17" s="418">
        <v>2146</v>
      </c>
      <c r="CS17" s="418">
        <v>19206</v>
      </c>
      <c r="CT17" s="418">
        <v>12201</v>
      </c>
      <c r="CU17" s="418">
        <v>25932</v>
      </c>
      <c r="CV17" s="418">
        <v>536</v>
      </c>
      <c r="CW17" s="418">
        <v>78368</v>
      </c>
      <c r="CX17" s="418">
        <v>110466</v>
      </c>
      <c r="CY17" s="418">
        <v>12739</v>
      </c>
      <c r="CZ17" s="418">
        <v>4444</v>
      </c>
      <c r="DA17" s="418">
        <v>22</v>
      </c>
      <c r="DB17" s="418">
        <v>304</v>
      </c>
      <c r="DC17" s="418">
        <v>11550</v>
      </c>
      <c r="DD17" s="418">
        <v>213</v>
      </c>
      <c r="DE17" s="418">
        <v>435</v>
      </c>
      <c r="DF17" s="418">
        <v>12849</v>
      </c>
      <c r="DG17" s="418">
        <v>2711361</v>
      </c>
      <c r="DI17" s="419" t="s">
        <v>732</v>
      </c>
      <c r="DJ17" s="420">
        <v>405180</v>
      </c>
      <c r="DK17" s="420">
        <v>20</v>
      </c>
      <c r="DL17" s="420">
        <v>931</v>
      </c>
      <c r="DM17" s="420">
        <v>446</v>
      </c>
      <c r="DN17" s="420">
        <v>943</v>
      </c>
      <c r="DO17" s="420">
        <v>80</v>
      </c>
      <c r="DP17" s="420">
        <v>4838</v>
      </c>
      <c r="DQ17" s="420">
        <v>2102</v>
      </c>
      <c r="DR17" s="420">
        <v>6302</v>
      </c>
      <c r="DS17" s="420">
        <v>1347</v>
      </c>
      <c r="DT17" s="420">
        <v>4852</v>
      </c>
      <c r="DU17" s="420">
        <v>1627</v>
      </c>
      <c r="DV17" s="420">
        <v>313</v>
      </c>
      <c r="DW17" s="420">
        <v>889</v>
      </c>
      <c r="DX17" s="420">
        <v>10961</v>
      </c>
      <c r="DY17" s="420">
        <v>1993</v>
      </c>
      <c r="DZ17" s="420">
        <v>6048</v>
      </c>
      <c r="EA17" s="420">
        <v>359247</v>
      </c>
      <c r="EB17" s="420">
        <v>534</v>
      </c>
      <c r="EC17" s="420">
        <v>1727</v>
      </c>
      <c r="ED17" s="420">
        <v>0</v>
      </c>
      <c r="EE17" s="420">
        <v>10</v>
      </c>
      <c r="EF17" s="420">
        <v>520</v>
      </c>
      <c r="EG17" s="420">
        <v>3153</v>
      </c>
      <c r="EH17" s="420">
        <v>72970</v>
      </c>
      <c r="EI17" s="420">
        <v>267</v>
      </c>
      <c r="EJ17" s="420">
        <v>472</v>
      </c>
      <c r="EK17" s="420">
        <v>247</v>
      </c>
      <c r="EL17" s="420">
        <v>0</v>
      </c>
      <c r="EM17" s="420">
        <v>606</v>
      </c>
      <c r="EN17" s="420">
        <v>155</v>
      </c>
      <c r="EO17" s="420">
        <v>0</v>
      </c>
      <c r="EP17" s="420">
        <v>126</v>
      </c>
      <c r="EQ17" s="420">
        <v>0</v>
      </c>
      <c r="ER17" s="420">
        <v>0</v>
      </c>
      <c r="ES17" s="420">
        <v>78526</v>
      </c>
      <c r="ET17" s="420">
        <v>0</v>
      </c>
      <c r="EU17" s="420">
        <v>0</v>
      </c>
      <c r="EV17" s="420">
        <v>0</v>
      </c>
      <c r="EW17" s="420">
        <v>0</v>
      </c>
      <c r="EX17" s="420">
        <v>0</v>
      </c>
      <c r="EY17" s="420">
        <v>0</v>
      </c>
      <c r="EZ17" s="420">
        <v>0</v>
      </c>
      <c r="FA17" s="420">
        <v>1129</v>
      </c>
      <c r="FB17" s="420">
        <v>30367</v>
      </c>
      <c r="FC17" s="420">
        <v>0</v>
      </c>
      <c r="FD17" s="420">
        <v>17</v>
      </c>
      <c r="FE17" s="420">
        <v>0</v>
      </c>
      <c r="FF17" s="420">
        <v>0</v>
      </c>
      <c r="FG17" s="420">
        <v>0</v>
      </c>
      <c r="FH17" s="420">
        <v>0</v>
      </c>
      <c r="FI17" s="420">
        <v>51</v>
      </c>
      <c r="FJ17" s="420">
        <v>268</v>
      </c>
      <c r="FK17" s="421">
        <v>515558</v>
      </c>
    </row>
    <row r="18" spans="1:167" x14ac:dyDescent="0.35">
      <c r="A18" s="408" t="s">
        <v>733</v>
      </c>
      <c r="B18" s="417">
        <f t="shared" si="6"/>
        <v>97112</v>
      </c>
      <c r="C18" s="417">
        <f t="shared" si="7"/>
        <v>20557</v>
      </c>
      <c r="D18" s="417">
        <f t="shared" si="8"/>
        <v>1538</v>
      </c>
      <c r="E18" s="417">
        <f t="shared" si="9"/>
        <v>434</v>
      </c>
      <c r="F18" s="417">
        <f t="shared" si="10"/>
        <v>623</v>
      </c>
      <c r="G18" s="417">
        <f t="shared" si="11"/>
        <v>782</v>
      </c>
      <c r="H18" s="417">
        <f t="shared" si="12"/>
        <v>3887</v>
      </c>
      <c r="I18" s="417">
        <f t="shared" si="13"/>
        <v>1033</v>
      </c>
      <c r="J18" s="417">
        <f t="shared" si="14"/>
        <v>406</v>
      </c>
      <c r="K18" s="417">
        <f t="shared" si="15"/>
        <v>1156</v>
      </c>
      <c r="L18" s="417">
        <f t="shared" si="16"/>
        <v>3463</v>
      </c>
      <c r="M18" s="417">
        <f t="shared" si="17"/>
        <v>3355</v>
      </c>
      <c r="N18" s="417">
        <f t="shared" si="18"/>
        <v>690</v>
      </c>
      <c r="O18" s="417">
        <f t="shared" si="19"/>
        <v>771</v>
      </c>
      <c r="P18" s="417">
        <f t="shared" si="20"/>
        <v>11300</v>
      </c>
      <c r="Q18" s="417">
        <f t="shared" si="21"/>
        <v>5268</v>
      </c>
      <c r="R18" s="417">
        <f t="shared" si="22"/>
        <v>3255</v>
      </c>
      <c r="S18" s="417">
        <f t="shared" si="23"/>
        <v>55462</v>
      </c>
      <c r="T18" s="417">
        <f t="shared" si="24"/>
        <v>289</v>
      </c>
      <c r="U18" s="417">
        <f t="shared" si="25"/>
        <v>3400</v>
      </c>
      <c r="V18" s="417">
        <f t="shared" si="26"/>
        <v>8962</v>
      </c>
      <c r="W18" s="417">
        <f t="shared" si="27"/>
        <v>784</v>
      </c>
      <c r="X18" s="417">
        <f t="shared" si="28"/>
        <v>8484</v>
      </c>
      <c r="Y18" s="417">
        <f t="shared" si="29"/>
        <v>1547</v>
      </c>
      <c r="Z18" s="417">
        <f t="shared" si="30"/>
        <v>14163</v>
      </c>
      <c r="AA18" s="417">
        <f t="shared" si="31"/>
        <v>760</v>
      </c>
      <c r="AB18" s="417">
        <f t="shared" si="32"/>
        <v>386</v>
      </c>
      <c r="AC18" s="417">
        <f t="shared" si="33"/>
        <v>377</v>
      </c>
      <c r="AD18" s="417">
        <f t="shared" si="34"/>
        <v>887</v>
      </c>
      <c r="AE18" s="417">
        <f t="shared" si="35"/>
        <v>4093</v>
      </c>
      <c r="AF18" s="417">
        <f t="shared" si="36"/>
        <v>1498</v>
      </c>
      <c r="AG18" s="417">
        <f t="shared" si="37"/>
        <v>821</v>
      </c>
      <c r="AH18" s="417">
        <f t="shared" si="38"/>
        <v>562</v>
      </c>
      <c r="AI18" s="417">
        <f t="shared" si="39"/>
        <v>777</v>
      </c>
      <c r="AJ18" s="417">
        <f t="shared" si="40"/>
        <v>1503</v>
      </c>
      <c r="AK18" s="417">
        <f t="shared" si="41"/>
        <v>45604</v>
      </c>
      <c r="AL18" s="417">
        <f t="shared" si="42"/>
        <v>2180</v>
      </c>
      <c r="AM18" s="417">
        <f t="shared" si="43"/>
        <v>331</v>
      </c>
      <c r="AN18" s="417">
        <f t="shared" si="44"/>
        <v>435</v>
      </c>
      <c r="AO18" s="417">
        <f t="shared" si="45"/>
        <v>2610</v>
      </c>
      <c r="AP18" s="417">
        <f t="shared" si="46"/>
        <v>681</v>
      </c>
      <c r="AQ18" s="417">
        <f t="shared" si="47"/>
        <v>1166</v>
      </c>
      <c r="AR18" s="417">
        <f t="shared" si="48"/>
        <v>1444</v>
      </c>
      <c r="AS18" s="417">
        <f t="shared" si="49"/>
        <v>46845</v>
      </c>
      <c r="AT18" s="417">
        <f t="shared" si="50"/>
        <v>39743</v>
      </c>
      <c r="AU18" s="417">
        <f t="shared" si="51"/>
        <v>6844</v>
      </c>
      <c r="AV18" s="417">
        <f t="shared" si="52"/>
        <v>10361</v>
      </c>
      <c r="AW18" s="417">
        <f t="shared" si="53"/>
        <v>787</v>
      </c>
      <c r="AX18" s="417">
        <f t="shared" si="54"/>
        <v>1571</v>
      </c>
      <c r="AY18" s="417">
        <f t="shared" si="55"/>
        <v>5166</v>
      </c>
      <c r="AZ18" s="417">
        <f t="shared" si="56"/>
        <v>1104</v>
      </c>
      <c r="BA18" s="417">
        <f t="shared" si="57"/>
        <v>1519</v>
      </c>
      <c r="BB18" s="417">
        <f t="shared" si="58"/>
        <v>15351</v>
      </c>
      <c r="BC18" s="417">
        <f t="shared" si="59"/>
        <v>301411</v>
      </c>
      <c r="BD18" s="292"/>
      <c r="BE18" s="408" t="s">
        <v>733</v>
      </c>
      <c r="BF18" s="418">
        <v>31124</v>
      </c>
      <c r="BG18" s="418">
        <v>19397</v>
      </c>
      <c r="BH18" s="418">
        <v>974</v>
      </c>
      <c r="BI18" s="418">
        <v>371</v>
      </c>
      <c r="BJ18" s="418">
        <v>473</v>
      </c>
      <c r="BK18" s="418">
        <v>754</v>
      </c>
      <c r="BL18" s="418">
        <v>3004</v>
      </c>
      <c r="BM18" s="418">
        <v>672</v>
      </c>
      <c r="BN18" s="418">
        <v>34</v>
      </c>
      <c r="BO18" s="418">
        <v>685</v>
      </c>
      <c r="BP18" s="418">
        <v>2284</v>
      </c>
      <c r="BQ18" s="418">
        <v>1855</v>
      </c>
      <c r="BR18" s="418">
        <v>505</v>
      </c>
      <c r="BS18" s="418">
        <v>565</v>
      </c>
      <c r="BT18" s="418">
        <v>5572</v>
      </c>
      <c r="BU18" s="418">
        <v>4443</v>
      </c>
      <c r="BV18" s="418">
        <v>2616</v>
      </c>
      <c r="BW18" s="418">
        <v>3217</v>
      </c>
      <c r="BX18" s="418">
        <v>198</v>
      </c>
      <c r="BY18" s="418">
        <v>2902</v>
      </c>
      <c r="BZ18" s="418">
        <v>8962</v>
      </c>
      <c r="CA18" s="418">
        <v>782</v>
      </c>
      <c r="CB18" s="418">
        <v>8447</v>
      </c>
      <c r="CC18" s="418">
        <v>1436</v>
      </c>
      <c r="CD18" s="418">
        <v>1801</v>
      </c>
      <c r="CE18" s="418">
        <v>694</v>
      </c>
      <c r="CF18" s="418">
        <v>373</v>
      </c>
      <c r="CG18" s="418">
        <v>308</v>
      </c>
      <c r="CH18" s="418">
        <v>887</v>
      </c>
      <c r="CI18" s="418">
        <v>3915</v>
      </c>
      <c r="CJ18" s="418">
        <v>1379</v>
      </c>
      <c r="CK18" s="418">
        <v>821</v>
      </c>
      <c r="CL18" s="418">
        <v>555</v>
      </c>
      <c r="CM18" s="418">
        <v>777</v>
      </c>
      <c r="CN18" s="418">
        <v>1500</v>
      </c>
      <c r="CO18" s="418">
        <v>32637</v>
      </c>
      <c r="CP18" s="418">
        <v>2061</v>
      </c>
      <c r="CQ18" s="418">
        <v>331</v>
      </c>
      <c r="CR18" s="418">
        <v>432</v>
      </c>
      <c r="CS18" s="418">
        <v>2610</v>
      </c>
      <c r="CT18" s="418">
        <v>681</v>
      </c>
      <c r="CU18" s="418">
        <v>1091</v>
      </c>
      <c r="CV18" s="418">
        <v>1432</v>
      </c>
      <c r="CW18" s="418">
        <v>25383</v>
      </c>
      <c r="CX18" s="418">
        <v>26042</v>
      </c>
      <c r="CY18" s="418">
        <v>6788</v>
      </c>
      <c r="CZ18" s="418">
        <v>3797</v>
      </c>
      <c r="DA18" s="418">
        <v>751</v>
      </c>
      <c r="DB18" s="418">
        <v>98</v>
      </c>
      <c r="DC18" s="418">
        <v>2343</v>
      </c>
      <c r="DD18" s="418">
        <v>1104</v>
      </c>
      <c r="DE18" s="418">
        <v>1490</v>
      </c>
      <c r="DF18" s="418">
        <v>14797</v>
      </c>
      <c r="DG18" s="418">
        <v>174389</v>
      </c>
      <c r="DI18" s="419" t="s">
        <v>733</v>
      </c>
      <c r="DJ18" s="420">
        <v>65988</v>
      </c>
      <c r="DK18" s="420">
        <v>1160</v>
      </c>
      <c r="DL18" s="420">
        <v>564</v>
      </c>
      <c r="DM18" s="420">
        <v>63</v>
      </c>
      <c r="DN18" s="420">
        <v>150</v>
      </c>
      <c r="DO18" s="420">
        <v>28</v>
      </c>
      <c r="DP18" s="420">
        <v>883</v>
      </c>
      <c r="DQ18" s="420">
        <v>361</v>
      </c>
      <c r="DR18" s="420">
        <v>372</v>
      </c>
      <c r="DS18" s="420">
        <v>471</v>
      </c>
      <c r="DT18" s="420">
        <v>1179</v>
      </c>
      <c r="DU18" s="420">
        <v>1500</v>
      </c>
      <c r="DV18" s="420">
        <v>185</v>
      </c>
      <c r="DW18" s="420">
        <v>206</v>
      </c>
      <c r="DX18" s="420">
        <v>5728</v>
      </c>
      <c r="DY18" s="420">
        <v>825</v>
      </c>
      <c r="DZ18" s="420">
        <v>639</v>
      </c>
      <c r="EA18" s="420">
        <v>52245</v>
      </c>
      <c r="EB18" s="420">
        <v>91</v>
      </c>
      <c r="EC18" s="420">
        <v>498</v>
      </c>
      <c r="ED18" s="420">
        <v>0</v>
      </c>
      <c r="EE18" s="420">
        <v>2</v>
      </c>
      <c r="EF18" s="420">
        <v>37</v>
      </c>
      <c r="EG18" s="420">
        <v>111</v>
      </c>
      <c r="EH18" s="420">
        <v>12362</v>
      </c>
      <c r="EI18" s="420">
        <v>66</v>
      </c>
      <c r="EJ18" s="420">
        <v>13</v>
      </c>
      <c r="EK18" s="420">
        <v>69</v>
      </c>
      <c r="EL18" s="420">
        <v>0</v>
      </c>
      <c r="EM18" s="420">
        <v>178</v>
      </c>
      <c r="EN18" s="420">
        <v>119</v>
      </c>
      <c r="EO18" s="420">
        <v>0</v>
      </c>
      <c r="EP18" s="420">
        <v>7</v>
      </c>
      <c r="EQ18" s="420">
        <v>0</v>
      </c>
      <c r="ER18" s="420">
        <v>3</v>
      </c>
      <c r="ES18" s="420">
        <v>12967</v>
      </c>
      <c r="ET18" s="420">
        <v>119</v>
      </c>
      <c r="EU18" s="420">
        <v>0</v>
      </c>
      <c r="EV18" s="420">
        <v>3</v>
      </c>
      <c r="EW18" s="420">
        <v>0</v>
      </c>
      <c r="EX18" s="420">
        <v>0</v>
      </c>
      <c r="EY18" s="420">
        <v>75</v>
      </c>
      <c r="EZ18" s="420">
        <v>12</v>
      </c>
      <c r="FA18" s="420">
        <v>21462</v>
      </c>
      <c r="FB18" s="420">
        <v>13701</v>
      </c>
      <c r="FC18" s="420">
        <v>56</v>
      </c>
      <c r="FD18" s="420">
        <v>6564</v>
      </c>
      <c r="FE18" s="420">
        <v>36</v>
      </c>
      <c r="FF18" s="420">
        <v>1473</v>
      </c>
      <c r="FG18" s="420">
        <v>2823</v>
      </c>
      <c r="FH18" s="420">
        <v>0</v>
      </c>
      <c r="FI18" s="420">
        <v>29</v>
      </c>
      <c r="FJ18" s="420">
        <v>554</v>
      </c>
      <c r="FK18" s="421">
        <v>127022</v>
      </c>
    </row>
    <row r="19" spans="1:167" x14ac:dyDescent="0.35">
      <c r="A19" s="408" t="s">
        <v>734</v>
      </c>
      <c r="B19" s="417">
        <f t="shared" si="6"/>
        <v>33184590</v>
      </c>
      <c r="C19" s="417">
        <f t="shared" si="7"/>
        <v>650361</v>
      </c>
      <c r="D19" s="417">
        <f t="shared" si="8"/>
        <v>1036406</v>
      </c>
      <c r="E19" s="417">
        <f t="shared" si="9"/>
        <v>349875</v>
      </c>
      <c r="F19" s="417">
        <f t="shared" si="10"/>
        <v>394414</v>
      </c>
      <c r="G19" s="417">
        <f t="shared" si="11"/>
        <v>483903</v>
      </c>
      <c r="H19" s="417">
        <f t="shared" si="12"/>
        <v>2694271</v>
      </c>
      <c r="I19" s="417">
        <f t="shared" si="13"/>
        <v>647996</v>
      </c>
      <c r="J19" s="417">
        <f t="shared" si="14"/>
        <v>255851</v>
      </c>
      <c r="K19" s="417">
        <f t="shared" si="15"/>
        <v>1154514</v>
      </c>
      <c r="L19" s="417">
        <f t="shared" si="16"/>
        <v>1403912</v>
      </c>
      <c r="M19" s="417">
        <f t="shared" si="17"/>
        <v>1567034</v>
      </c>
      <c r="N19" s="417">
        <f t="shared" si="18"/>
        <v>601379</v>
      </c>
      <c r="O19" s="417">
        <f t="shared" si="19"/>
        <v>249492</v>
      </c>
      <c r="P19" s="417">
        <f t="shared" si="20"/>
        <v>3014823</v>
      </c>
      <c r="Q19" s="417">
        <f t="shared" si="21"/>
        <v>756393</v>
      </c>
      <c r="R19" s="417">
        <f t="shared" si="22"/>
        <v>1269015</v>
      </c>
      <c r="S19" s="417">
        <f t="shared" si="23"/>
        <v>15723991</v>
      </c>
      <c r="T19" s="417">
        <f t="shared" si="24"/>
        <v>134694</v>
      </c>
      <c r="U19" s="417">
        <f t="shared" si="25"/>
        <v>1446627</v>
      </c>
      <c r="V19" s="417">
        <f t="shared" si="26"/>
        <v>3104391</v>
      </c>
      <c r="W19" s="417">
        <f t="shared" si="27"/>
        <v>364513</v>
      </c>
      <c r="X19" s="417">
        <f t="shared" si="28"/>
        <v>5123999</v>
      </c>
      <c r="Y19" s="417">
        <f t="shared" si="29"/>
        <v>679151</v>
      </c>
      <c r="Z19" s="417">
        <f t="shared" si="30"/>
        <v>1351706</v>
      </c>
      <c r="AA19" s="417">
        <f t="shared" si="31"/>
        <v>191038</v>
      </c>
      <c r="AB19" s="417">
        <f t="shared" si="32"/>
        <v>92188</v>
      </c>
      <c r="AC19" s="417">
        <f t="shared" si="33"/>
        <v>21846</v>
      </c>
      <c r="AD19" s="417">
        <f t="shared" si="34"/>
        <v>331175</v>
      </c>
      <c r="AE19" s="417">
        <f t="shared" si="35"/>
        <v>682815</v>
      </c>
      <c r="AF19" s="417">
        <f t="shared" si="36"/>
        <v>226214</v>
      </c>
      <c r="AG19" s="417">
        <f t="shared" si="37"/>
        <v>132549</v>
      </c>
      <c r="AH19" s="417">
        <f t="shared" si="38"/>
        <v>83006</v>
      </c>
      <c r="AI19" s="417">
        <f t="shared" si="39"/>
        <v>84781</v>
      </c>
      <c r="AJ19" s="417">
        <f t="shared" si="40"/>
        <v>158921</v>
      </c>
      <c r="AK19" s="417">
        <f t="shared" si="41"/>
        <v>12628293</v>
      </c>
      <c r="AL19" s="417">
        <f t="shared" si="42"/>
        <v>312231</v>
      </c>
      <c r="AM19" s="417">
        <f t="shared" si="43"/>
        <v>85246</v>
      </c>
      <c r="AN19" s="417">
        <f t="shared" si="44"/>
        <v>73405</v>
      </c>
      <c r="AO19" s="417">
        <f t="shared" si="45"/>
        <v>611460</v>
      </c>
      <c r="AP19" s="417">
        <f t="shared" si="46"/>
        <v>304723</v>
      </c>
      <c r="AQ19" s="417">
        <f t="shared" si="47"/>
        <v>697279</v>
      </c>
      <c r="AR19" s="417">
        <f t="shared" si="48"/>
        <v>170392</v>
      </c>
      <c r="AS19" s="417">
        <f t="shared" si="49"/>
        <v>2687482</v>
      </c>
      <c r="AT19" s="417">
        <f t="shared" si="50"/>
        <v>3575359</v>
      </c>
      <c r="AU19" s="417">
        <f t="shared" si="51"/>
        <v>404020</v>
      </c>
      <c r="AV19" s="417">
        <f t="shared" si="52"/>
        <v>455000</v>
      </c>
      <c r="AW19" s="417">
        <f t="shared" si="53"/>
        <v>50249</v>
      </c>
      <c r="AX19" s="417">
        <f t="shared" si="54"/>
        <v>124340</v>
      </c>
      <c r="AY19" s="417">
        <f t="shared" si="55"/>
        <v>1510143</v>
      </c>
      <c r="AZ19" s="417">
        <f t="shared" si="56"/>
        <v>8907</v>
      </c>
      <c r="BA19" s="417">
        <f t="shared" si="57"/>
        <v>33698</v>
      </c>
      <c r="BB19" s="417">
        <f t="shared" si="58"/>
        <v>186318</v>
      </c>
      <c r="BC19" s="417">
        <f t="shared" si="59"/>
        <v>57753496</v>
      </c>
      <c r="BD19" s="292"/>
      <c r="BE19" s="408" t="s">
        <v>734</v>
      </c>
      <c r="BF19" s="418">
        <v>20675728</v>
      </c>
      <c r="BG19" s="418">
        <v>596352</v>
      </c>
      <c r="BH19" s="418">
        <v>869798</v>
      </c>
      <c r="BI19" s="418">
        <v>300323</v>
      </c>
      <c r="BJ19" s="418">
        <v>331917</v>
      </c>
      <c r="BK19" s="418">
        <v>443946</v>
      </c>
      <c r="BL19" s="418">
        <v>2147262</v>
      </c>
      <c r="BM19" s="418">
        <v>510516</v>
      </c>
      <c r="BN19" s="418">
        <v>130818</v>
      </c>
      <c r="BO19" s="418">
        <v>838982</v>
      </c>
      <c r="BP19" s="418">
        <v>1077870</v>
      </c>
      <c r="BQ19" s="418">
        <v>1240259</v>
      </c>
      <c r="BR19" s="418">
        <v>558583</v>
      </c>
      <c r="BS19" s="418">
        <v>210599</v>
      </c>
      <c r="BT19" s="418">
        <v>2383319</v>
      </c>
      <c r="BU19" s="418">
        <v>605049</v>
      </c>
      <c r="BV19" s="418">
        <v>1010963</v>
      </c>
      <c r="BW19" s="418">
        <v>7098408</v>
      </c>
      <c r="BX19" s="418">
        <v>115625</v>
      </c>
      <c r="BY19" s="418">
        <v>801491</v>
      </c>
      <c r="BZ19" s="418">
        <v>3104391</v>
      </c>
      <c r="CA19" s="418">
        <v>364214</v>
      </c>
      <c r="CB19" s="418">
        <v>5112541</v>
      </c>
      <c r="CC19" s="418">
        <v>646977</v>
      </c>
      <c r="CD19" s="418">
        <v>390821</v>
      </c>
      <c r="CE19" s="418">
        <v>178375</v>
      </c>
      <c r="CF19" s="418">
        <v>87780</v>
      </c>
      <c r="CG19" s="418">
        <v>14806</v>
      </c>
      <c r="CH19" s="418">
        <v>331175</v>
      </c>
      <c r="CI19" s="418">
        <v>677003</v>
      </c>
      <c r="CJ19" s="418">
        <v>221153</v>
      </c>
      <c r="CK19" s="418">
        <v>132549</v>
      </c>
      <c r="CL19" s="418">
        <v>79982</v>
      </c>
      <c r="CM19" s="418">
        <v>84781</v>
      </c>
      <c r="CN19" s="418">
        <v>157782</v>
      </c>
      <c r="CO19" s="418">
        <v>11584330</v>
      </c>
      <c r="CP19" s="418">
        <v>293645</v>
      </c>
      <c r="CQ19" s="418">
        <v>84964</v>
      </c>
      <c r="CR19" s="418">
        <v>72363</v>
      </c>
      <c r="CS19" s="418">
        <v>611460</v>
      </c>
      <c r="CT19" s="418">
        <v>304723</v>
      </c>
      <c r="CU19" s="418">
        <v>644238</v>
      </c>
      <c r="CV19" s="418">
        <v>166791</v>
      </c>
      <c r="CW19" s="418">
        <v>2336246</v>
      </c>
      <c r="CX19" s="418">
        <v>2220096</v>
      </c>
      <c r="CY19" s="418">
        <v>394230</v>
      </c>
      <c r="CZ19" s="418">
        <v>349114</v>
      </c>
      <c r="DA19" s="418">
        <v>44210</v>
      </c>
      <c r="DB19" s="418">
        <v>35749</v>
      </c>
      <c r="DC19" s="418">
        <v>801789</v>
      </c>
      <c r="DD19" s="418">
        <v>8907</v>
      </c>
      <c r="DE19" s="418">
        <v>32204</v>
      </c>
      <c r="DF19" s="418">
        <v>158197</v>
      </c>
      <c r="DG19" s="418">
        <v>41415336</v>
      </c>
      <c r="DI19" s="419" t="s">
        <v>734</v>
      </c>
      <c r="DJ19" s="420">
        <v>12508862</v>
      </c>
      <c r="DK19" s="420">
        <v>54009</v>
      </c>
      <c r="DL19" s="420">
        <v>166608</v>
      </c>
      <c r="DM19" s="420">
        <v>49552</v>
      </c>
      <c r="DN19" s="420">
        <v>62497</v>
      </c>
      <c r="DO19" s="420">
        <v>39957</v>
      </c>
      <c r="DP19" s="420">
        <v>547009</v>
      </c>
      <c r="DQ19" s="420">
        <v>137480</v>
      </c>
      <c r="DR19" s="420">
        <v>125033</v>
      </c>
      <c r="DS19" s="420">
        <v>315532</v>
      </c>
      <c r="DT19" s="420">
        <v>326042</v>
      </c>
      <c r="DU19" s="420">
        <v>326775</v>
      </c>
      <c r="DV19" s="420">
        <v>42796</v>
      </c>
      <c r="DW19" s="420">
        <v>38893</v>
      </c>
      <c r="DX19" s="420">
        <v>631504</v>
      </c>
      <c r="DY19" s="420">
        <v>151344</v>
      </c>
      <c r="DZ19" s="420">
        <v>258052</v>
      </c>
      <c r="EA19" s="420">
        <v>8625583</v>
      </c>
      <c r="EB19" s="420">
        <v>19069</v>
      </c>
      <c r="EC19" s="420">
        <v>645136</v>
      </c>
      <c r="ED19" s="420">
        <v>0</v>
      </c>
      <c r="EE19" s="420">
        <v>299</v>
      </c>
      <c r="EF19" s="420">
        <v>11458</v>
      </c>
      <c r="EG19" s="420">
        <v>32174</v>
      </c>
      <c r="EH19" s="420">
        <v>960885</v>
      </c>
      <c r="EI19" s="420">
        <v>12663</v>
      </c>
      <c r="EJ19" s="420">
        <v>4408</v>
      </c>
      <c r="EK19" s="420">
        <v>7040</v>
      </c>
      <c r="EL19" s="420">
        <v>0</v>
      </c>
      <c r="EM19" s="420">
        <v>5812</v>
      </c>
      <c r="EN19" s="420">
        <v>5061</v>
      </c>
      <c r="EO19" s="420">
        <v>0</v>
      </c>
      <c r="EP19" s="420">
        <v>3024</v>
      </c>
      <c r="EQ19" s="420">
        <v>0</v>
      </c>
      <c r="ER19" s="420">
        <v>1139</v>
      </c>
      <c r="ES19" s="420">
        <v>1043963</v>
      </c>
      <c r="ET19" s="420">
        <v>18586</v>
      </c>
      <c r="EU19" s="420">
        <v>282</v>
      </c>
      <c r="EV19" s="420">
        <v>1042</v>
      </c>
      <c r="EW19" s="420">
        <v>0</v>
      </c>
      <c r="EX19" s="420">
        <v>0</v>
      </c>
      <c r="EY19" s="420">
        <v>53041</v>
      </c>
      <c r="EZ19" s="420">
        <v>3601</v>
      </c>
      <c r="FA19" s="420">
        <v>351236</v>
      </c>
      <c r="FB19" s="420">
        <v>1355263</v>
      </c>
      <c r="FC19" s="420">
        <v>9790</v>
      </c>
      <c r="FD19" s="420">
        <v>105886</v>
      </c>
      <c r="FE19" s="420">
        <v>6039</v>
      </c>
      <c r="FF19" s="420">
        <v>88591</v>
      </c>
      <c r="FG19" s="420">
        <v>708354</v>
      </c>
      <c r="FH19" s="420">
        <v>0</v>
      </c>
      <c r="FI19" s="420">
        <v>1494</v>
      </c>
      <c r="FJ19" s="420">
        <v>28121</v>
      </c>
      <c r="FK19" s="421">
        <v>16338160</v>
      </c>
    </row>
    <row r="20" spans="1:167" x14ac:dyDescent="0.35">
      <c r="A20" s="408" t="s">
        <v>735</v>
      </c>
      <c r="B20" s="417">
        <f t="shared" si="6"/>
        <v>2290300</v>
      </c>
      <c r="C20" s="417">
        <f t="shared" si="7"/>
        <v>61171</v>
      </c>
      <c r="D20" s="417">
        <f t="shared" si="8"/>
        <v>29255</v>
      </c>
      <c r="E20" s="417">
        <f t="shared" si="9"/>
        <v>18717</v>
      </c>
      <c r="F20" s="417">
        <f t="shared" si="10"/>
        <v>21538</v>
      </c>
      <c r="G20" s="417">
        <f t="shared" si="11"/>
        <v>78037</v>
      </c>
      <c r="H20" s="417">
        <f t="shared" si="12"/>
        <v>190852</v>
      </c>
      <c r="I20" s="417">
        <f t="shared" si="13"/>
        <v>43532</v>
      </c>
      <c r="J20" s="417">
        <f t="shared" si="14"/>
        <v>22371</v>
      </c>
      <c r="K20" s="417">
        <f t="shared" si="15"/>
        <v>32254</v>
      </c>
      <c r="L20" s="417">
        <f t="shared" si="16"/>
        <v>49356</v>
      </c>
      <c r="M20" s="417">
        <f t="shared" si="17"/>
        <v>88705</v>
      </c>
      <c r="N20" s="417">
        <f t="shared" si="18"/>
        <v>15940</v>
      </c>
      <c r="O20" s="417">
        <f t="shared" si="19"/>
        <v>20022</v>
      </c>
      <c r="P20" s="417">
        <f t="shared" si="20"/>
        <v>231701</v>
      </c>
      <c r="Q20" s="417">
        <f t="shared" si="21"/>
        <v>51455</v>
      </c>
      <c r="R20" s="417">
        <f t="shared" si="22"/>
        <v>146921</v>
      </c>
      <c r="S20" s="417">
        <f t="shared" si="23"/>
        <v>1183676</v>
      </c>
      <c r="T20" s="417">
        <f t="shared" si="24"/>
        <v>6608</v>
      </c>
      <c r="U20" s="417">
        <f t="shared" si="25"/>
        <v>59360</v>
      </c>
      <c r="V20" s="417">
        <f t="shared" si="26"/>
        <v>542770</v>
      </c>
      <c r="W20" s="417">
        <f t="shared" si="27"/>
        <v>78151</v>
      </c>
      <c r="X20" s="417">
        <f t="shared" si="28"/>
        <v>1310828</v>
      </c>
      <c r="Y20" s="417">
        <f t="shared" si="29"/>
        <v>163797</v>
      </c>
      <c r="Z20" s="417">
        <f t="shared" si="30"/>
        <v>203509</v>
      </c>
      <c r="AA20" s="417">
        <f t="shared" si="31"/>
        <v>31344</v>
      </c>
      <c r="AB20" s="417">
        <f t="shared" si="32"/>
        <v>10651</v>
      </c>
      <c r="AC20" s="417">
        <f t="shared" si="33"/>
        <v>1588</v>
      </c>
      <c r="AD20" s="417">
        <f t="shared" si="34"/>
        <v>81356</v>
      </c>
      <c r="AE20" s="417">
        <f t="shared" si="35"/>
        <v>292105</v>
      </c>
      <c r="AF20" s="417">
        <f t="shared" si="36"/>
        <v>45666</v>
      </c>
      <c r="AG20" s="417">
        <f t="shared" si="37"/>
        <v>40987</v>
      </c>
      <c r="AH20" s="417">
        <f t="shared" si="38"/>
        <v>10812</v>
      </c>
      <c r="AI20" s="417">
        <f t="shared" si="39"/>
        <v>5637</v>
      </c>
      <c r="AJ20" s="417">
        <f t="shared" si="40"/>
        <v>26220</v>
      </c>
      <c r="AK20" s="417">
        <f t="shared" si="41"/>
        <v>2845421</v>
      </c>
      <c r="AL20" s="417">
        <f t="shared" si="42"/>
        <v>30437</v>
      </c>
      <c r="AM20" s="417">
        <f t="shared" si="43"/>
        <v>9529</v>
      </c>
      <c r="AN20" s="417">
        <f t="shared" si="44"/>
        <v>4405</v>
      </c>
      <c r="AO20" s="417">
        <f t="shared" si="45"/>
        <v>83119</v>
      </c>
      <c r="AP20" s="417">
        <f t="shared" si="46"/>
        <v>101718</v>
      </c>
      <c r="AQ20" s="417">
        <f t="shared" si="47"/>
        <v>46157</v>
      </c>
      <c r="AR20" s="417">
        <f t="shared" si="48"/>
        <v>1760</v>
      </c>
      <c r="AS20" s="417">
        <f t="shared" si="49"/>
        <v>240691</v>
      </c>
      <c r="AT20" s="417">
        <f t="shared" si="50"/>
        <v>258787</v>
      </c>
      <c r="AU20" s="417">
        <f t="shared" si="51"/>
        <v>17570</v>
      </c>
      <c r="AV20" s="417">
        <f t="shared" si="52"/>
        <v>49403</v>
      </c>
      <c r="AW20" s="417">
        <f t="shared" si="53"/>
        <v>873</v>
      </c>
      <c r="AX20" s="417">
        <f t="shared" si="54"/>
        <v>9572</v>
      </c>
      <c r="AY20" s="417">
        <f t="shared" si="55"/>
        <v>11287</v>
      </c>
      <c r="AZ20" s="417">
        <f t="shared" si="56"/>
        <v>960</v>
      </c>
      <c r="BA20" s="417">
        <f t="shared" si="57"/>
        <v>2994</v>
      </c>
      <c r="BB20" s="417">
        <f t="shared" si="58"/>
        <v>27189</v>
      </c>
      <c r="BC20" s="417">
        <f t="shared" si="59"/>
        <v>6093343</v>
      </c>
      <c r="BD20" s="292"/>
      <c r="BE20" s="408" t="s">
        <v>735</v>
      </c>
      <c r="BF20" s="418">
        <v>925959</v>
      </c>
      <c r="BG20" s="418">
        <v>60707</v>
      </c>
      <c r="BH20" s="418">
        <v>25003</v>
      </c>
      <c r="BI20" s="418">
        <v>17174</v>
      </c>
      <c r="BJ20" s="418">
        <v>19567</v>
      </c>
      <c r="BK20" s="418">
        <v>75299</v>
      </c>
      <c r="BL20" s="418">
        <v>159917</v>
      </c>
      <c r="BM20" s="418">
        <v>38307</v>
      </c>
      <c r="BN20" s="418">
        <v>2371</v>
      </c>
      <c r="BO20" s="418">
        <v>24840</v>
      </c>
      <c r="BP20" s="418">
        <v>34611</v>
      </c>
      <c r="BQ20" s="418">
        <v>67662</v>
      </c>
      <c r="BR20" s="418">
        <v>15045</v>
      </c>
      <c r="BS20" s="418">
        <v>17271</v>
      </c>
      <c r="BT20" s="418">
        <v>174587</v>
      </c>
      <c r="BU20" s="418">
        <v>42616</v>
      </c>
      <c r="BV20" s="418">
        <v>107876</v>
      </c>
      <c r="BW20" s="418">
        <v>44227</v>
      </c>
      <c r="BX20" s="418">
        <v>5666</v>
      </c>
      <c r="BY20" s="418">
        <v>53920</v>
      </c>
      <c r="BZ20" s="418">
        <v>542770</v>
      </c>
      <c r="CA20" s="418">
        <v>78141</v>
      </c>
      <c r="CB20" s="418">
        <v>1309315</v>
      </c>
      <c r="CC20" s="418">
        <v>157090</v>
      </c>
      <c r="CD20" s="418">
        <v>105015</v>
      </c>
      <c r="CE20" s="418">
        <v>30866</v>
      </c>
      <c r="CF20" s="418">
        <v>10128</v>
      </c>
      <c r="CG20" s="418">
        <v>1145</v>
      </c>
      <c r="CH20" s="418">
        <v>81356</v>
      </c>
      <c r="CI20" s="418">
        <v>291169</v>
      </c>
      <c r="CJ20" s="418">
        <v>45505</v>
      </c>
      <c r="CK20" s="418">
        <v>40987</v>
      </c>
      <c r="CL20" s="418">
        <v>10606</v>
      </c>
      <c r="CM20" s="418">
        <v>5637</v>
      </c>
      <c r="CN20" s="418">
        <v>26203</v>
      </c>
      <c r="CO20" s="418">
        <v>2735933</v>
      </c>
      <c r="CP20" s="418">
        <v>30303</v>
      </c>
      <c r="CQ20" s="418">
        <v>9528</v>
      </c>
      <c r="CR20" s="418">
        <v>4381</v>
      </c>
      <c r="CS20" s="418">
        <v>83119</v>
      </c>
      <c r="CT20" s="418">
        <v>101718</v>
      </c>
      <c r="CU20" s="418">
        <v>46045</v>
      </c>
      <c r="CV20" s="418">
        <v>1760</v>
      </c>
      <c r="CW20" s="418">
        <v>233195</v>
      </c>
      <c r="CX20" s="418">
        <v>177089</v>
      </c>
      <c r="CY20" s="418">
        <v>17560</v>
      </c>
      <c r="CZ20" s="418">
        <v>35927</v>
      </c>
      <c r="DA20" s="418">
        <v>873</v>
      </c>
      <c r="DB20" s="418">
        <v>2311</v>
      </c>
      <c r="DC20" s="418">
        <v>11287</v>
      </c>
      <c r="DD20" s="418">
        <v>960</v>
      </c>
      <c r="DE20" s="418">
        <v>2865</v>
      </c>
      <c r="DF20" s="418">
        <v>25424</v>
      </c>
      <c r="DG20" s="418">
        <v>4506944</v>
      </c>
      <c r="DI20" s="419" t="s">
        <v>735</v>
      </c>
      <c r="DJ20" s="420">
        <v>1364341</v>
      </c>
      <c r="DK20" s="420">
        <v>464</v>
      </c>
      <c r="DL20" s="420">
        <v>4252</v>
      </c>
      <c r="DM20" s="420">
        <v>1543</v>
      </c>
      <c r="DN20" s="420">
        <v>1971</v>
      </c>
      <c r="DO20" s="420">
        <v>2738</v>
      </c>
      <c r="DP20" s="420">
        <v>30935</v>
      </c>
      <c r="DQ20" s="420">
        <v>5225</v>
      </c>
      <c r="DR20" s="420">
        <v>20000</v>
      </c>
      <c r="DS20" s="420">
        <v>7414</v>
      </c>
      <c r="DT20" s="420">
        <v>14745</v>
      </c>
      <c r="DU20" s="420">
        <v>21043</v>
      </c>
      <c r="DV20" s="420">
        <v>895</v>
      </c>
      <c r="DW20" s="420">
        <v>2751</v>
      </c>
      <c r="DX20" s="420">
        <v>57114</v>
      </c>
      <c r="DY20" s="420">
        <v>8839</v>
      </c>
      <c r="DZ20" s="420">
        <v>39045</v>
      </c>
      <c r="EA20" s="420">
        <v>1139449</v>
      </c>
      <c r="EB20" s="420">
        <v>942</v>
      </c>
      <c r="EC20" s="420">
        <v>5440</v>
      </c>
      <c r="ED20" s="420">
        <v>0</v>
      </c>
      <c r="EE20" s="420">
        <v>10</v>
      </c>
      <c r="EF20" s="420">
        <v>1513</v>
      </c>
      <c r="EG20" s="420">
        <v>6707</v>
      </c>
      <c r="EH20" s="420">
        <v>98494</v>
      </c>
      <c r="EI20" s="420">
        <v>478</v>
      </c>
      <c r="EJ20" s="420">
        <v>523</v>
      </c>
      <c r="EK20" s="420">
        <v>443</v>
      </c>
      <c r="EL20" s="420">
        <v>0</v>
      </c>
      <c r="EM20" s="420">
        <v>936</v>
      </c>
      <c r="EN20" s="420">
        <v>161</v>
      </c>
      <c r="EO20" s="420">
        <v>0</v>
      </c>
      <c r="EP20" s="420">
        <v>206</v>
      </c>
      <c r="EQ20" s="420">
        <v>0</v>
      </c>
      <c r="ER20" s="420">
        <v>17</v>
      </c>
      <c r="ES20" s="420">
        <v>109488</v>
      </c>
      <c r="ET20" s="420">
        <v>134</v>
      </c>
      <c r="EU20" s="420">
        <v>1</v>
      </c>
      <c r="EV20" s="420">
        <v>24</v>
      </c>
      <c r="EW20" s="420">
        <v>0</v>
      </c>
      <c r="EX20" s="420">
        <v>0</v>
      </c>
      <c r="EY20" s="420">
        <v>112</v>
      </c>
      <c r="EZ20" s="420">
        <v>0</v>
      </c>
      <c r="FA20" s="420">
        <v>7496</v>
      </c>
      <c r="FB20" s="420">
        <v>81698</v>
      </c>
      <c r="FC20" s="420">
        <v>10</v>
      </c>
      <c r="FD20" s="420">
        <v>13476</v>
      </c>
      <c r="FE20" s="420">
        <v>0</v>
      </c>
      <c r="FF20" s="420">
        <v>7261</v>
      </c>
      <c r="FG20" s="420">
        <v>0</v>
      </c>
      <c r="FH20" s="420">
        <v>0</v>
      </c>
      <c r="FI20" s="420">
        <v>129</v>
      </c>
      <c r="FJ20" s="420">
        <v>1765</v>
      </c>
      <c r="FK20" s="421">
        <v>1586399</v>
      </c>
    </row>
    <row r="21" spans="1:167" x14ac:dyDescent="0.35">
      <c r="A21" s="408" t="s">
        <v>736</v>
      </c>
      <c r="B21" s="417">
        <f t="shared" si="6"/>
        <v>263572</v>
      </c>
      <c r="C21" s="417">
        <f t="shared" si="7"/>
        <v>33392</v>
      </c>
      <c r="D21" s="417">
        <f t="shared" si="8"/>
        <v>1085</v>
      </c>
      <c r="E21" s="417">
        <f t="shared" si="9"/>
        <v>598</v>
      </c>
      <c r="F21" s="417">
        <f t="shared" si="10"/>
        <v>519</v>
      </c>
      <c r="G21" s="417">
        <f t="shared" si="11"/>
        <v>2977</v>
      </c>
      <c r="H21" s="417">
        <f t="shared" si="12"/>
        <v>8806</v>
      </c>
      <c r="I21" s="417">
        <f t="shared" si="13"/>
        <v>1154</v>
      </c>
      <c r="J21" s="417">
        <f t="shared" si="14"/>
        <v>2920</v>
      </c>
      <c r="K21" s="417">
        <f t="shared" si="15"/>
        <v>2869</v>
      </c>
      <c r="L21" s="417">
        <f t="shared" si="16"/>
        <v>2440</v>
      </c>
      <c r="M21" s="417">
        <f t="shared" si="17"/>
        <v>2265</v>
      </c>
      <c r="N21" s="417">
        <f t="shared" si="18"/>
        <v>711</v>
      </c>
      <c r="O21" s="417">
        <f t="shared" si="19"/>
        <v>1269</v>
      </c>
      <c r="P21" s="417">
        <f t="shared" si="20"/>
        <v>12788</v>
      </c>
      <c r="Q21" s="417">
        <f t="shared" si="21"/>
        <v>9264</v>
      </c>
      <c r="R21" s="417">
        <f t="shared" si="22"/>
        <v>4155</v>
      </c>
      <c r="S21" s="417">
        <f t="shared" si="23"/>
        <v>203192</v>
      </c>
      <c r="T21" s="417">
        <f t="shared" si="24"/>
        <v>244</v>
      </c>
      <c r="U21" s="417">
        <f t="shared" si="25"/>
        <v>6316</v>
      </c>
      <c r="V21" s="417">
        <f t="shared" si="26"/>
        <v>13070</v>
      </c>
      <c r="W21" s="417">
        <f t="shared" si="27"/>
        <v>1125</v>
      </c>
      <c r="X21" s="417">
        <f t="shared" si="28"/>
        <v>65445</v>
      </c>
      <c r="Y21" s="417">
        <f t="shared" si="29"/>
        <v>7038</v>
      </c>
      <c r="Z21" s="417">
        <f t="shared" si="30"/>
        <v>59635</v>
      </c>
      <c r="AA21" s="417">
        <f t="shared" si="31"/>
        <v>724</v>
      </c>
      <c r="AB21" s="417">
        <f t="shared" si="32"/>
        <v>341</v>
      </c>
      <c r="AC21" s="417">
        <f t="shared" si="33"/>
        <v>105</v>
      </c>
      <c r="AD21" s="417">
        <f t="shared" si="34"/>
        <v>7880</v>
      </c>
      <c r="AE21" s="417">
        <f t="shared" si="35"/>
        <v>55417</v>
      </c>
      <c r="AF21" s="417">
        <f t="shared" si="36"/>
        <v>2871</v>
      </c>
      <c r="AG21" s="417">
        <f t="shared" si="37"/>
        <v>3183</v>
      </c>
      <c r="AH21" s="417">
        <f t="shared" si="38"/>
        <v>710</v>
      </c>
      <c r="AI21" s="417">
        <f t="shared" si="39"/>
        <v>595</v>
      </c>
      <c r="AJ21" s="417">
        <f t="shared" si="40"/>
        <v>2225</v>
      </c>
      <c r="AK21" s="417">
        <f t="shared" si="41"/>
        <v>220364</v>
      </c>
      <c r="AL21" s="417">
        <f t="shared" si="42"/>
        <v>20971</v>
      </c>
      <c r="AM21" s="417">
        <f t="shared" si="43"/>
        <v>767</v>
      </c>
      <c r="AN21" s="417">
        <f t="shared" si="44"/>
        <v>759</v>
      </c>
      <c r="AO21" s="417">
        <f t="shared" si="45"/>
        <v>451873</v>
      </c>
      <c r="AP21" s="417">
        <f t="shared" si="46"/>
        <v>132375</v>
      </c>
      <c r="AQ21" s="417">
        <f t="shared" si="47"/>
        <v>22172</v>
      </c>
      <c r="AR21" s="417">
        <f t="shared" si="48"/>
        <v>3</v>
      </c>
      <c r="AS21" s="417">
        <f t="shared" si="49"/>
        <v>1122875</v>
      </c>
      <c r="AT21" s="417">
        <f t="shared" si="50"/>
        <v>174348</v>
      </c>
      <c r="AU21" s="417">
        <f t="shared" si="51"/>
        <v>4650</v>
      </c>
      <c r="AV21" s="417">
        <f t="shared" si="52"/>
        <v>245458</v>
      </c>
      <c r="AW21" s="417">
        <f t="shared" si="53"/>
        <v>5975</v>
      </c>
      <c r="AX21" s="417">
        <f t="shared" si="54"/>
        <v>17819</v>
      </c>
      <c r="AY21" s="417">
        <f t="shared" si="55"/>
        <v>64239</v>
      </c>
      <c r="AZ21" s="417">
        <f t="shared" si="56"/>
        <v>7650</v>
      </c>
      <c r="BA21" s="417">
        <f t="shared" si="57"/>
        <v>714</v>
      </c>
      <c r="BB21" s="417">
        <f t="shared" si="58"/>
        <v>17631</v>
      </c>
      <c r="BC21" s="417">
        <f t="shared" si="59"/>
        <v>2807607</v>
      </c>
      <c r="BD21" s="292"/>
      <c r="BE21" s="408" t="s">
        <v>736</v>
      </c>
      <c r="BF21" s="418">
        <v>44796</v>
      </c>
      <c r="BG21" s="418">
        <v>33161</v>
      </c>
      <c r="BH21" s="418">
        <v>898</v>
      </c>
      <c r="BI21" s="418">
        <v>416</v>
      </c>
      <c r="BJ21" s="418">
        <v>390</v>
      </c>
      <c r="BK21" s="418">
        <v>2906</v>
      </c>
      <c r="BL21" s="418">
        <v>7726</v>
      </c>
      <c r="BM21" s="418">
        <v>976</v>
      </c>
      <c r="BN21" s="418">
        <v>167</v>
      </c>
      <c r="BO21" s="418">
        <v>958</v>
      </c>
      <c r="BP21" s="418">
        <v>1044</v>
      </c>
      <c r="BQ21" s="418">
        <v>1885</v>
      </c>
      <c r="BR21" s="418">
        <v>413</v>
      </c>
      <c r="BS21" s="418">
        <v>321</v>
      </c>
      <c r="BT21" s="418">
        <v>8588</v>
      </c>
      <c r="BU21" s="418">
        <v>7164</v>
      </c>
      <c r="BV21" s="418">
        <v>3255</v>
      </c>
      <c r="BW21" s="418">
        <v>4939</v>
      </c>
      <c r="BX21" s="418">
        <v>161</v>
      </c>
      <c r="BY21" s="418">
        <v>2589</v>
      </c>
      <c r="BZ21" s="418">
        <v>13070</v>
      </c>
      <c r="CA21" s="418">
        <v>1122</v>
      </c>
      <c r="CB21" s="418">
        <v>65276</v>
      </c>
      <c r="CC21" s="418">
        <v>6415</v>
      </c>
      <c r="CD21" s="418">
        <v>10980</v>
      </c>
      <c r="CE21" s="418">
        <v>713</v>
      </c>
      <c r="CF21" s="418">
        <v>337</v>
      </c>
      <c r="CG21" s="418">
        <v>28</v>
      </c>
      <c r="CH21" s="418">
        <v>7880</v>
      </c>
      <c r="CI21" s="418">
        <v>55014</v>
      </c>
      <c r="CJ21" s="418">
        <v>2747</v>
      </c>
      <c r="CK21" s="418">
        <v>3183</v>
      </c>
      <c r="CL21" s="418">
        <v>699</v>
      </c>
      <c r="CM21" s="418">
        <v>595</v>
      </c>
      <c r="CN21" s="418">
        <v>2225</v>
      </c>
      <c r="CO21" s="418">
        <v>170284</v>
      </c>
      <c r="CP21" s="418">
        <v>20971</v>
      </c>
      <c r="CQ21" s="418">
        <v>764</v>
      </c>
      <c r="CR21" s="418">
        <v>759</v>
      </c>
      <c r="CS21" s="418">
        <v>451873</v>
      </c>
      <c r="CT21" s="418">
        <v>132375</v>
      </c>
      <c r="CU21" s="418">
        <v>20886</v>
      </c>
      <c r="CV21" s="418">
        <v>3</v>
      </c>
      <c r="CW21" s="418">
        <v>946558</v>
      </c>
      <c r="CX21" s="418">
        <v>127895</v>
      </c>
      <c r="CY21" s="418">
        <v>4628</v>
      </c>
      <c r="CZ21" s="418">
        <v>159741</v>
      </c>
      <c r="DA21" s="418">
        <v>3262</v>
      </c>
      <c r="DB21" s="418">
        <v>2497</v>
      </c>
      <c r="DC21" s="418">
        <v>46431</v>
      </c>
      <c r="DD21" s="418">
        <v>7650</v>
      </c>
      <c r="DE21" s="418">
        <v>582</v>
      </c>
      <c r="DF21" s="418">
        <v>17317</v>
      </c>
      <c r="DG21" s="418">
        <v>2192433</v>
      </c>
      <c r="DI21" s="419" t="s">
        <v>736</v>
      </c>
      <c r="DJ21" s="420">
        <v>218776</v>
      </c>
      <c r="DK21" s="420">
        <v>231</v>
      </c>
      <c r="DL21" s="420">
        <v>187</v>
      </c>
      <c r="DM21" s="420">
        <v>182</v>
      </c>
      <c r="DN21" s="420">
        <v>129</v>
      </c>
      <c r="DO21" s="420">
        <v>71</v>
      </c>
      <c r="DP21" s="420">
        <v>1080</v>
      </c>
      <c r="DQ21" s="420">
        <v>178</v>
      </c>
      <c r="DR21" s="420">
        <v>2753</v>
      </c>
      <c r="DS21" s="420">
        <v>1911</v>
      </c>
      <c r="DT21" s="420">
        <v>1396</v>
      </c>
      <c r="DU21" s="420">
        <v>380</v>
      </c>
      <c r="DV21" s="420">
        <v>298</v>
      </c>
      <c r="DW21" s="420">
        <v>948</v>
      </c>
      <c r="DX21" s="420">
        <v>4200</v>
      </c>
      <c r="DY21" s="420">
        <v>2100</v>
      </c>
      <c r="DZ21" s="420">
        <v>900</v>
      </c>
      <c r="EA21" s="420">
        <v>198253</v>
      </c>
      <c r="EB21" s="420">
        <v>83</v>
      </c>
      <c r="EC21" s="420">
        <v>3727</v>
      </c>
      <c r="ED21" s="420">
        <v>0</v>
      </c>
      <c r="EE21" s="420">
        <v>3</v>
      </c>
      <c r="EF21" s="420">
        <v>169</v>
      </c>
      <c r="EG21" s="420">
        <v>623</v>
      </c>
      <c r="EH21" s="420">
        <v>48655</v>
      </c>
      <c r="EI21" s="420">
        <v>11</v>
      </c>
      <c r="EJ21" s="420">
        <v>4</v>
      </c>
      <c r="EK21" s="420">
        <v>77</v>
      </c>
      <c r="EL21" s="420">
        <v>0</v>
      </c>
      <c r="EM21" s="420">
        <v>403</v>
      </c>
      <c r="EN21" s="420">
        <v>124</v>
      </c>
      <c r="EO21" s="420">
        <v>0</v>
      </c>
      <c r="EP21" s="420">
        <v>11</v>
      </c>
      <c r="EQ21" s="420">
        <v>0</v>
      </c>
      <c r="ER21" s="420">
        <v>0</v>
      </c>
      <c r="ES21" s="420">
        <v>50080</v>
      </c>
      <c r="ET21" s="420">
        <v>0</v>
      </c>
      <c r="EU21" s="420">
        <v>3</v>
      </c>
      <c r="EV21" s="420">
        <v>0</v>
      </c>
      <c r="EW21" s="420">
        <v>0</v>
      </c>
      <c r="EX21" s="420">
        <v>0</v>
      </c>
      <c r="EY21" s="420">
        <v>1286</v>
      </c>
      <c r="EZ21" s="420">
        <v>0</v>
      </c>
      <c r="FA21" s="420">
        <v>176317</v>
      </c>
      <c r="FB21" s="420">
        <v>46453</v>
      </c>
      <c r="FC21" s="420">
        <v>22</v>
      </c>
      <c r="FD21" s="420">
        <v>85717</v>
      </c>
      <c r="FE21" s="420">
        <v>2713</v>
      </c>
      <c r="FF21" s="420">
        <v>15322</v>
      </c>
      <c r="FG21" s="420">
        <v>17808</v>
      </c>
      <c r="FH21" s="420">
        <v>0</v>
      </c>
      <c r="FI21" s="420">
        <v>132</v>
      </c>
      <c r="FJ21" s="420">
        <v>314</v>
      </c>
      <c r="FK21" s="421">
        <v>615174</v>
      </c>
    </row>
    <row r="22" spans="1:167" x14ac:dyDescent="0.35">
      <c r="A22" s="408" t="s">
        <v>737</v>
      </c>
      <c r="B22" s="417">
        <f t="shared" si="6"/>
        <v>356323</v>
      </c>
      <c r="C22" s="417">
        <f t="shared" si="7"/>
        <v>5851</v>
      </c>
      <c r="D22" s="417">
        <f t="shared" si="8"/>
        <v>9397</v>
      </c>
      <c r="E22" s="417">
        <f t="shared" si="9"/>
        <v>4982</v>
      </c>
      <c r="F22" s="417">
        <f t="shared" si="10"/>
        <v>7218</v>
      </c>
      <c r="G22" s="417">
        <f t="shared" si="11"/>
        <v>6215</v>
      </c>
      <c r="H22" s="417">
        <f t="shared" si="12"/>
        <v>42120</v>
      </c>
      <c r="I22" s="417">
        <f t="shared" si="13"/>
        <v>11960</v>
      </c>
      <c r="J22" s="417">
        <f t="shared" si="14"/>
        <v>4310</v>
      </c>
      <c r="K22" s="417">
        <f t="shared" si="15"/>
        <v>18051</v>
      </c>
      <c r="L22" s="417">
        <f t="shared" si="16"/>
        <v>17711</v>
      </c>
      <c r="M22" s="417">
        <f t="shared" si="17"/>
        <v>28740</v>
      </c>
      <c r="N22" s="417">
        <f t="shared" si="18"/>
        <v>4110</v>
      </c>
      <c r="O22" s="417">
        <f t="shared" si="19"/>
        <v>3618</v>
      </c>
      <c r="P22" s="417">
        <f t="shared" si="20"/>
        <v>62529</v>
      </c>
      <c r="Q22" s="417">
        <f t="shared" si="21"/>
        <v>15265</v>
      </c>
      <c r="R22" s="417">
        <f t="shared" si="22"/>
        <v>34647</v>
      </c>
      <c r="S22" s="417">
        <f t="shared" si="23"/>
        <v>73390</v>
      </c>
      <c r="T22" s="417">
        <f t="shared" si="24"/>
        <v>1721</v>
      </c>
      <c r="U22" s="417">
        <f t="shared" si="25"/>
        <v>10339</v>
      </c>
      <c r="V22" s="417">
        <f t="shared" si="26"/>
        <v>43959</v>
      </c>
      <c r="W22" s="417">
        <f t="shared" si="27"/>
        <v>5963</v>
      </c>
      <c r="X22" s="417">
        <f t="shared" si="28"/>
        <v>89703</v>
      </c>
      <c r="Y22" s="417">
        <f t="shared" si="29"/>
        <v>12165</v>
      </c>
      <c r="Z22" s="417">
        <f t="shared" si="30"/>
        <v>19046</v>
      </c>
      <c r="AA22" s="417">
        <f t="shared" si="31"/>
        <v>2967</v>
      </c>
      <c r="AB22" s="417">
        <f t="shared" si="32"/>
        <v>1659</v>
      </c>
      <c r="AC22" s="417">
        <f t="shared" si="33"/>
        <v>170</v>
      </c>
      <c r="AD22" s="417">
        <f t="shared" si="34"/>
        <v>6183</v>
      </c>
      <c r="AE22" s="417">
        <f t="shared" si="35"/>
        <v>14826</v>
      </c>
      <c r="AF22" s="417">
        <f t="shared" si="36"/>
        <v>3771</v>
      </c>
      <c r="AG22" s="417">
        <f t="shared" si="37"/>
        <v>2623</v>
      </c>
      <c r="AH22" s="417">
        <f t="shared" si="38"/>
        <v>17</v>
      </c>
      <c r="AI22" s="417">
        <f t="shared" si="39"/>
        <v>278</v>
      </c>
      <c r="AJ22" s="417">
        <f t="shared" si="40"/>
        <v>1849</v>
      </c>
      <c r="AK22" s="417">
        <f t="shared" si="41"/>
        <v>205179</v>
      </c>
      <c r="AL22" s="417">
        <f t="shared" si="42"/>
        <v>5677</v>
      </c>
      <c r="AM22" s="417">
        <f t="shared" si="43"/>
        <v>1437</v>
      </c>
      <c r="AN22" s="417">
        <f t="shared" si="44"/>
        <v>1491</v>
      </c>
      <c r="AO22" s="417">
        <f t="shared" si="45"/>
        <v>7484</v>
      </c>
      <c r="AP22" s="417">
        <f t="shared" si="46"/>
        <v>3430</v>
      </c>
      <c r="AQ22" s="417">
        <f t="shared" si="47"/>
        <v>2825</v>
      </c>
      <c r="AR22" s="417">
        <f t="shared" si="48"/>
        <v>1836</v>
      </c>
      <c r="AS22" s="417">
        <f t="shared" si="49"/>
        <v>25320</v>
      </c>
      <c r="AT22" s="417">
        <f t="shared" si="50"/>
        <v>23307</v>
      </c>
      <c r="AU22" s="417">
        <f t="shared" si="51"/>
        <v>4623</v>
      </c>
      <c r="AV22" s="417">
        <f t="shared" si="52"/>
        <v>1901</v>
      </c>
      <c r="AW22" s="417">
        <f t="shared" si="53"/>
        <v>232</v>
      </c>
      <c r="AX22" s="417">
        <f t="shared" si="54"/>
        <v>930</v>
      </c>
      <c r="AY22" s="417">
        <f t="shared" si="55"/>
        <v>2046</v>
      </c>
      <c r="AZ22" s="417">
        <f t="shared" si="56"/>
        <v>72</v>
      </c>
      <c r="BA22" s="417">
        <f t="shared" si="57"/>
        <v>388</v>
      </c>
      <c r="BB22" s="417">
        <f t="shared" si="58"/>
        <v>1429</v>
      </c>
      <c r="BC22" s="417">
        <f t="shared" si="59"/>
        <v>651781</v>
      </c>
      <c r="BD22" s="292"/>
      <c r="BE22" s="408" t="s">
        <v>737</v>
      </c>
      <c r="BF22" s="418">
        <v>158200</v>
      </c>
      <c r="BG22" s="418">
        <v>5847</v>
      </c>
      <c r="BH22" s="418">
        <v>6943</v>
      </c>
      <c r="BI22" s="418">
        <v>2672</v>
      </c>
      <c r="BJ22" s="418">
        <v>5283</v>
      </c>
      <c r="BK22" s="418">
        <v>4925</v>
      </c>
      <c r="BL22" s="418">
        <v>23660</v>
      </c>
      <c r="BM22" s="418">
        <v>5925</v>
      </c>
      <c r="BN22" s="418">
        <v>1348</v>
      </c>
      <c r="BO22" s="418">
        <v>6300</v>
      </c>
      <c r="BP22" s="418">
        <v>8727</v>
      </c>
      <c r="BQ22" s="418">
        <v>14226</v>
      </c>
      <c r="BR22" s="418">
        <v>3072</v>
      </c>
      <c r="BS22" s="418">
        <v>2207</v>
      </c>
      <c r="BT22" s="418">
        <v>34127</v>
      </c>
      <c r="BU22" s="418">
        <v>6999</v>
      </c>
      <c r="BV22" s="418">
        <v>17163</v>
      </c>
      <c r="BW22" s="418">
        <v>6866</v>
      </c>
      <c r="BX22" s="418">
        <v>907</v>
      </c>
      <c r="BY22" s="418">
        <v>6850</v>
      </c>
      <c r="BZ22" s="418">
        <v>43959</v>
      </c>
      <c r="CA22" s="418">
        <v>5963</v>
      </c>
      <c r="CB22" s="418">
        <v>89703</v>
      </c>
      <c r="CC22" s="418">
        <v>12165</v>
      </c>
      <c r="CD22" s="418">
        <v>4435</v>
      </c>
      <c r="CE22" s="418">
        <v>2967</v>
      </c>
      <c r="CF22" s="418">
        <v>1659</v>
      </c>
      <c r="CG22" s="418">
        <v>170</v>
      </c>
      <c r="CH22" s="418">
        <v>6183</v>
      </c>
      <c r="CI22" s="418">
        <v>14826</v>
      </c>
      <c r="CJ22" s="418">
        <v>3759</v>
      </c>
      <c r="CK22" s="418">
        <v>2623</v>
      </c>
      <c r="CL22" s="418">
        <v>17</v>
      </c>
      <c r="CM22" s="418">
        <v>278</v>
      </c>
      <c r="CN22" s="418">
        <v>1849</v>
      </c>
      <c r="CO22" s="418">
        <v>190556</v>
      </c>
      <c r="CP22" s="418">
        <v>5677</v>
      </c>
      <c r="CQ22" s="418">
        <v>1437</v>
      </c>
      <c r="CR22" s="418">
        <v>1457</v>
      </c>
      <c r="CS22" s="418">
        <v>7484</v>
      </c>
      <c r="CT22" s="418">
        <v>3430</v>
      </c>
      <c r="CU22" s="418">
        <v>2825</v>
      </c>
      <c r="CV22" s="418">
        <v>1836</v>
      </c>
      <c r="CW22" s="418">
        <v>24870</v>
      </c>
      <c r="CX22" s="418">
        <v>21438</v>
      </c>
      <c r="CY22" s="418">
        <v>4623</v>
      </c>
      <c r="CZ22" s="418">
        <v>1901</v>
      </c>
      <c r="DA22" s="418">
        <v>232</v>
      </c>
      <c r="DB22" s="418">
        <v>930</v>
      </c>
      <c r="DC22" s="418">
        <v>2046</v>
      </c>
      <c r="DD22" s="418">
        <v>72</v>
      </c>
      <c r="DE22" s="418">
        <v>388</v>
      </c>
      <c r="DF22" s="418">
        <v>1398</v>
      </c>
      <c r="DG22" s="418">
        <v>436647</v>
      </c>
      <c r="DI22" s="419" t="s">
        <v>737</v>
      </c>
      <c r="DJ22" s="420">
        <v>198123</v>
      </c>
      <c r="DK22" s="420">
        <v>4</v>
      </c>
      <c r="DL22" s="420">
        <v>2454</v>
      </c>
      <c r="DM22" s="420">
        <v>2310</v>
      </c>
      <c r="DN22" s="420">
        <v>1935</v>
      </c>
      <c r="DO22" s="420">
        <v>1290</v>
      </c>
      <c r="DP22" s="420">
        <v>18460</v>
      </c>
      <c r="DQ22" s="420">
        <v>6035</v>
      </c>
      <c r="DR22" s="420">
        <v>2962</v>
      </c>
      <c r="DS22" s="420">
        <v>11751</v>
      </c>
      <c r="DT22" s="420">
        <v>8984</v>
      </c>
      <c r="DU22" s="420">
        <v>14514</v>
      </c>
      <c r="DV22" s="420">
        <v>1038</v>
      </c>
      <c r="DW22" s="420">
        <v>1411</v>
      </c>
      <c r="DX22" s="420">
        <v>28402</v>
      </c>
      <c r="DY22" s="420">
        <v>8266</v>
      </c>
      <c r="DZ22" s="420">
        <v>17484</v>
      </c>
      <c r="EA22" s="420">
        <v>66524</v>
      </c>
      <c r="EB22" s="420">
        <v>814</v>
      </c>
      <c r="EC22" s="420">
        <v>3489</v>
      </c>
      <c r="ED22" s="420">
        <v>0</v>
      </c>
      <c r="EE22" s="420">
        <v>0</v>
      </c>
      <c r="EF22" s="420">
        <v>0</v>
      </c>
      <c r="EG22" s="420">
        <v>0</v>
      </c>
      <c r="EH22" s="420">
        <v>14611</v>
      </c>
      <c r="EI22" s="420">
        <v>0</v>
      </c>
      <c r="EJ22" s="420">
        <v>0</v>
      </c>
      <c r="EK22" s="420">
        <v>0</v>
      </c>
      <c r="EL22" s="420">
        <v>0</v>
      </c>
      <c r="EM22" s="420">
        <v>0</v>
      </c>
      <c r="EN22" s="420">
        <v>12</v>
      </c>
      <c r="EO22" s="420">
        <v>0</v>
      </c>
      <c r="EP22" s="420">
        <v>0</v>
      </c>
      <c r="EQ22" s="420">
        <v>0</v>
      </c>
      <c r="ER22" s="420">
        <v>0</v>
      </c>
      <c r="ES22" s="420">
        <v>14623</v>
      </c>
      <c r="ET22" s="420">
        <v>0</v>
      </c>
      <c r="EU22" s="420">
        <v>0</v>
      </c>
      <c r="EV22" s="420">
        <v>34</v>
      </c>
      <c r="EW22" s="420">
        <v>0</v>
      </c>
      <c r="EX22" s="420">
        <v>0</v>
      </c>
      <c r="EY22" s="420">
        <v>0</v>
      </c>
      <c r="EZ22" s="420">
        <v>0</v>
      </c>
      <c r="FA22" s="420">
        <v>450</v>
      </c>
      <c r="FB22" s="420">
        <v>1869</v>
      </c>
      <c r="FC22" s="420">
        <v>0</v>
      </c>
      <c r="FD22" s="420">
        <v>0</v>
      </c>
      <c r="FE22" s="420">
        <v>0</v>
      </c>
      <c r="FF22" s="420">
        <v>0</v>
      </c>
      <c r="FG22" s="420">
        <v>0</v>
      </c>
      <c r="FH22" s="420">
        <v>0</v>
      </c>
      <c r="FI22" s="420">
        <v>0</v>
      </c>
      <c r="FJ22" s="420">
        <v>31</v>
      </c>
      <c r="FK22" s="421">
        <v>215134</v>
      </c>
    </row>
    <row r="23" spans="1:167" x14ac:dyDescent="0.35">
      <c r="A23" s="408" t="s">
        <v>738</v>
      </c>
      <c r="B23" s="417">
        <f t="shared" si="6"/>
        <v>852986</v>
      </c>
      <c r="C23" s="417">
        <f t="shared" si="7"/>
        <v>27619</v>
      </c>
      <c r="D23" s="417">
        <f t="shared" si="8"/>
        <v>32075</v>
      </c>
      <c r="E23" s="417">
        <f t="shared" si="9"/>
        <v>8539</v>
      </c>
      <c r="F23" s="417">
        <f t="shared" si="10"/>
        <v>6388</v>
      </c>
      <c r="G23" s="417">
        <f t="shared" si="11"/>
        <v>12235</v>
      </c>
      <c r="H23" s="417">
        <f t="shared" si="12"/>
        <v>77220</v>
      </c>
      <c r="I23" s="417">
        <f t="shared" si="13"/>
        <v>19697</v>
      </c>
      <c r="J23" s="417">
        <f t="shared" si="14"/>
        <v>3157</v>
      </c>
      <c r="K23" s="417">
        <f t="shared" si="15"/>
        <v>29330</v>
      </c>
      <c r="L23" s="417">
        <f t="shared" si="16"/>
        <v>42889</v>
      </c>
      <c r="M23" s="417">
        <f t="shared" si="17"/>
        <v>34592</v>
      </c>
      <c r="N23" s="417">
        <f t="shared" si="18"/>
        <v>4996</v>
      </c>
      <c r="O23" s="417">
        <f t="shared" si="19"/>
        <v>10134</v>
      </c>
      <c r="P23" s="417">
        <f t="shared" si="20"/>
        <v>109937</v>
      </c>
      <c r="Q23" s="417">
        <f t="shared" si="21"/>
        <v>24681</v>
      </c>
      <c r="R23" s="417">
        <f t="shared" si="22"/>
        <v>35322</v>
      </c>
      <c r="S23" s="417">
        <f t="shared" si="23"/>
        <v>364060</v>
      </c>
      <c r="T23" s="417">
        <f t="shared" si="24"/>
        <v>2539</v>
      </c>
      <c r="U23" s="417">
        <f t="shared" si="25"/>
        <v>35195</v>
      </c>
      <c r="V23" s="417">
        <f t="shared" si="26"/>
        <v>62579</v>
      </c>
      <c r="W23" s="417">
        <f t="shared" si="27"/>
        <v>7627</v>
      </c>
      <c r="X23" s="417">
        <f t="shared" si="28"/>
        <v>109504</v>
      </c>
      <c r="Y23" s="417">
        <f t="shared" si="29"/>
        <v>12963</v>
      </c>
      <c r="Z23" s="417">
        <f t="shared" si="30"/>
        <v>47434</v>
      </c>
      <c r="AA23" s="417">
        <f t="shared" si="31"/>
        <v>4514</v>
      </c>
      <c r="AB23" s="417">
        <f t="shared" si="32"/>
        <v>1317</v>
      </c>
      <c r="AC23" s="417">
        <f t="shared" si="33"/>
        <v>618</v>
      </c>
      <c r="AD23" s="417">
        <f t="shared" si="34"/>
        <v>13441</v>
      </c>
      <c r="AE23" s="417">
        <f t="shared" si="35"/>
        <v>25489</v>
      </c>
      <c r="AF23" s="417">
        <f t="shared" si="36"/>
        <v>6362</v>
      </c>
      <c r="AG23" s="417">
        <f t="shared" si="37"/>
        <v>4916</v>
      </c>
      <c r="AH23" s="417">
        <f t="shared" si="38"/>
        <v>1406</v>
      </c>
      <c r="AI23" s="417">
        <f t="shared" si="39"/>
        <v>2663</v>
      </c>
      <c r="AJ23" s="417">
        <f t="shared" si="40"/>
        <v>4969</v>
      </c>
      <c r="AK23" s="417">
        <f t="shared" si="41"/>
        <v>305802</v>
      </c>
      <c r="AL23" s="417">
        <f t="shared" si="42"/>
        <v>15089</v>
      </c>
      <c r="AM23" s="417">
        <f t="shared" si="43"/>
        <v>2639</v>
      </c>
      <c r="AN23" s="417">
        <f t="shared" si="44"/>
        <v>5728</v>
      </c>
      <c r="AO23" s="417">
        <f t="shared" si="45"/>
        <v>78190</v>
      </c>
      <c r="AP23" s="417">
        <f t="shared" si="46"/>
        <v>30764</v>
      </c>
      <c r="AQ23" s="417">
        <f t="shared" si="47"/>
        <v>23139</v>
      </c>
      <c r="AR23" s="417">
        <f t="shared" si="48"/>
        <v>1907</v>
      </c>
      <c r="AS23" s="417">
        <f t="shared" si="49"/>
        <v>321086</v>
      </c>
      <c r="AT23" s="417">
        <f t="shared" si="50"/>
        <v>312441</v>
      </c>
      <c r="AU23" s="417">
        <f t="shared" si="51"/>
        <v>31321</v>
      </c>
      <c r="AV23" s="417">
        <f t="shared" si="52"/>
        <v>2111</v>
      </c>
      <c r="AW23" s="417">
        <f t="shared" si="53"/>
        <v>1976</v>
      </c>
      <c r="AX23" s="417">
        <f t="shared" si="54"/>
        <v>2532</v>
      </c>
      <c r="AY23" s="417">
        <f t="shared" si="55"/>
        <v>17424</v>
      </c>
      <c r="AZ23" s="417">
        <f t="shared" si="56"/>
        <v>823</v>
      </c>
      <c r="BA23" s="417">
        <f t="shared" si="57"/>
        <v>2136</v>
      </c>
      <c r="BB23" s="417">
        <f t="shared" si="58"/>
        <v>9183</v>
      </c>
      <c r="BC23" s="417">
        <f t="shared" si="59"/>
        <v>2044896</v>
      </c>
      <c r="BD23" s="292"/>
      <c r="BE23" s="408" t="s">
        <v>738</v>
      </c>
      <c r="BF23" s="418">
        <v>370334</v>
      </c>
      <c r="BG23" s="418">
        <v>24378</v>
      </c>
      <c r="BH23" s="418">
        <v>24782</v>
      </c>
      <c r="BI23" s="418">
        <v>6600</v>
      </c>
      <c r="BJ23" s="418">
        <v>4715</v>
      </c>
      <c r="BK23" s="418">
        <v>10283</v>
      </c>
      <c r="BL23" s="418">
        <v>52447</v>
      </c>
      <c r="BM23" s="418">
        <v>13065</v>
      </c>
      <c r="BN23" s="418">
        <v>1154</v>
      </c>
      <c r="BO23" s="418">
        <v>17771</v>
      </c>
      <c r="BP23" s="418">
        <v>29082</v>
      </c>
      <c r="BQ23" s="418">
        <v>25492</v>
      </c>
      <c r="BR23" s="418">
        <v>3861</v>
      </c>
      <c r="BS23" s="418">
        <v>8491</v>
      </c>
      <c r="BT23" s="418">
        <v>82823</v>
      </c>
      <c r="BU23" s="418">
        <v>18080</v>
      </c>
      <c r="BV23" s="418">
        <v>25930</v>
      </c>
      <c r="BW23" s="418">
        <v>20566</v>
      </c>
      <c r="BX23" s="418">
        <v>2047</v>
      </c>
      <c r="BY23" s="418">
        <v>23145</v>
      </c>
      <c r="BZ23" s="418">
        <v>62579</v>
      </c>
      <c r="CA23" s="418">
        <v>7618</v>
      </c>
      <c r="CB23" s="418">
        <v>109189</v>
      </c>
      <c r="CC23" s="418">
        <v>11963</v>
      </c>
      <c r="CD23" s="418">
        <v>10230</v>
      </c>
      <c r="CE23" s="418">
        <v>3694</v>
      </c>
      <c r="CF23" s="418">
        <v>1221</v>
      </c>
      <c r="CG23" s="418">
        <v>212</v>
      </c>
      <c r="CH23" s="418">
        <v>13441</v>
      </c>
      <c r="CI23" s="418">
        <v>25353</v>
      </c>
      <c r="CJ23" s="418">
        <v>6223</v>
      </c>
      <c r="CK23" s="418">
        <v>4916</v>
      </c>
      <c r="CL23" s="418">
        <v>1302</v>
      </c>
      <c r="CM23" s="418">
        <v>2663</v>
      </c>
      <c r="CN23" s="418">
        <v>4925</v>
      </c>
      <c r="CO23" s="418">
        <v>265529</v>
      </c>
      <c r="CP23" s="418">
        <v>14812</v>
      </c>
      <c r="CQ23" s="418">
        <v>2620</v>
      </c>
      <c r="CR23" s="418">
        <v>5663</v>
      </c>
      <c r="CS23" s="418">
        <v>78190</v>
      </c>
      <c r="CT23" s="418">
        <v>30764</v>
      </c>
      <c r="CU23" s="418">
        <v>19673</v>
      </c>
      <c r="CV23" s="418">
        <v>1886</v>
      </c>
      <c r="CW23" s="418">
        <v>263081</v>
      </c>
      <c r="CX23" s="418">
        <v>157504</v>
      </c>
      <c r="CY23" s="418">
        <v>30929</v>
      </c>
      <c r="CZ23" s="418">
        <v>2111</v>
      </c>
      <c r="DA23" s="418">
        <v>1976</v>
      </c>
      <c r="DB23" s="418">
        <v>2532</v>
      </c>
      <c r="DC23" s="418">
        <v>17424</v>
      </c>
      <c r="DD23" s="418">
        <v>823</v>
      </c>
      <c r="DE23" s="418">
        <v>2133</v>
      </c>
      <c r="DF23" s="418">
        <v>8163</v>
      </c>
      <c r="DG23" s="418">
        <v>1300525</v>
      </c>
      <c r="DI23" s="419" t="s">
        <v>738</v>
      </c>
      <c r="DJ23" s="420">
        <v>482652</v>
      </c>
      <c r="DK23" s="420">
        <v>3241</v>
      </c>
      <c r="DL23" s="420">
        <v>7293</v>
      </c>
      <c r="DM23" s="420">
        <v>1939</v>
      </c>
      <c r="DN23" s="420">
        <v>1673</v>
      </c>
      <c r="DO23" s="420">
        <v>1952</v>
      </c>
      <c r="DP23" s="420">
        <v>24773</v>
      </c>
      <c r="DQ23" s="420">
        <v>6632</v>
      </c>
      <c r="DR23" s="420">
        <v>2003</v>
      </c>
      <c r="DS23" s="420">
        <v>11559</v>
      </c>
      <c r="DT23" s="420">
        <v>13807</v>
      </c>
      <c r="DU23" s="420">
        <v>9100</v>
      </c>
      <c r="DV23" s="420">
        <v>1135</v>
      </c>
      <c r="DW23" s="420">
        <v>1643</v>
      </c>
      <c r="DX23" s="420">
        <v>27114</v>
      </c>
      <c r="DY23" s="420">
        <v>6601</v>
      </c>
      <c r="DZ23" s="420">
        <v>9392</v>
      </c>
      <c r="EA23" s="420">
        <v>343494</v>
      </c>
      <c r="EB23" s="420">
        <v>492</v>
      </c>
      <c r="EC23" s="420">
        <v>12050</v>
      </c>
      <c r="ED23" s="420">
        <v>0</v>
      </c>
      <c r="EE23" s="420">
        <v>9</v>
      </c>
      <c r="EF23" s="420">
        <v>315</v>
      </c>
      <c r="EG23" s="420">
        <v>1000</v>
      </c>
      <c r="EH23" s="420">
        <v>37204</v>
      </c>
      <c r="EI23" s="420">
        <v>820</v>
      </c>
      <c r="EJ23" s="420">
        <v>96</v>
      </c>
      <c r="EK23" s="420">
        <v>406</v>
      </c>
      <c r="EL23" s="420">
        <v>0</v>
      </c>
      <c r="EM23" s="420">
        <v>136</v>
      </c>
      <c r="EN23" s="420">
        <v>139</v>
      </c>
      <c r="EO23" s="420">
        <v>0</v>
      </c>
      <c r="EP23" s="420">
        <v>104</v>
      </c>
      <c r="EQ23" s="420">
        <v>0</v>
      </c>
      <c r="ER23" s="420">
        <v>44</v>
      </c>
      <c r="ES23" s="420">
        <v>40273</v>
      </c>
      <c r="ET23" s="420">
        <v>277</v>
      </c>
      <c r="EU23" s="420">
        <v>19</v>
      </c>
      <c r="EV23" s="420">
        <v>65</v>
      </c>
      <c r="EW23" s="420">
        <v>0</v>
      </c>
      <c r="EX23" s="420">
        <v>0</v>
      </c>
      <c r="EY23" s="420">
        <v>3466</v>
      </c>
      <c r="EZ23" s="420">
        <v>21</v>
      </c>
      <c r="FA23" s="420">
        <v>58005</v>
      </c>
      <c r="FB23" s="420">
        <v>154937</v>
      </c>
      <c r="FC23" s="420">
        <v>392</v>
      </c>
      <c r="FD23" s="420">
        <v>0</v>
      </c>
      <c r="FE23" s="420">
        <v>0</v>
      </c>
      <c r="FF23" s="420">
        <v>0</v>
      </c>
      <c r="FG23" s="420">
        <v>0</v>
      </c>
      <c r="FH23" s="420">
        <v>0</v>
      </c>
      <c r="FI23" s="420">
        <v>3</v>
      </c>
      <c r="FJ23" s="420">
        <v>1020</v>
      </c>
      <c r="FK23" s="421">
        <v>744371</v>
      </c>
    </row>
    <row r="24" spans="1:167" x14ac:dyDescent="0.35">
      <c r="A24" s="408" t="s">
        <v>739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292"/>
      <c r="BE24" s="408" t="s">
        <v>739</v>
      </c>
      <c r="BF24" s="422" t="s">
        <v>723</v>
      </c>
      <c r="BG24" s="422" t="s">
        <v>723</v>
      </c>
      <c r="BH24" s="422" t="s">
        <v>723</v>
      </c>
      <c r="BI24" s="422" t="s">
        <v>723</v>
      </c>
      <c r="BJ24" s="422" t="s">
        <v>723</v>
      </c>
      <c r="BK24" s="422" t="s">
        <v>723</v>
      </c>
      <c r="BL24" s="422" t="s">
        <v>723</v>
      </c>
      <c r="BM24" s="422" t="s">
        <v>723</v>
      </c>
      <c r="BN24" s="422" t="s">
        <v>723</v>
      </c>
      <c r="BO24" s="422" t="s">
        <v>723</v>
      </c>
      <c r="BP24" s="422" t="s">
        <v>723</v>
      </c>
      <c r="BQ24" s="422" t="s">
        <v>723</v>
      </c>
      <c r="BR24" s="422" t="s">
        <v>723</v>
      </c>
      <c r="BS24" s="422" t="s">
        <v>723</v>
      </c>
      <c r="BT24" s="422" t="s">
        <v>723</v>
      </c>
      <c r="BU24" s="422" t="s">
        <v>723</v>
      </c>
      <c r="BV24" s="422" t="s">
        <v>723</v>
      </c>
      <c r="BW24" s="422" t="s">
        <v>723</v>
      </c>
      <c r="BX24" s="422" t="s">
        <v>723</v>
      </c>
      <c r="BY24" s="422" t="s">
        <v>723</v>
      </c>
      <c r="BZ24" s="422" t="s">
        <v>723</v>
      </c>
      <c r="CA24" s="422" t="s">
        <v>723</v>
      </c>
      <c r="CB24" s="422" t="s">
        <v>723</v>
      </c>
      <c r="CC24" s="422" t="s">
        <v>723</v>
      </c>
      <c r="CD24" s="422" t="s">
        <v>723</v>
      </c>
      <c r="CE24" s="422" t="s">
        <v>723</v>
      </c>
      <c r="CF24" s="422" t="s">
        <v>723</v>
      </c>
      <c r="CG24" s="422" t="s">
        <v>723</v>
      </c>
      <c r="CH24" s="422" t="s">
        <v>723</v>
      </c>
      <c r="CI24" s="422" t="s">
        <v>723</v>
      </c>
      <c r="CJ24" s="422" t="s">
        <v>723</v>
      </c>
      <c r="CK24" s="422" t="s">
        <v>723</v>
      </c>
      <c r="CL24" s="422" t="s">
        <v>723</v>
      </c>
      <c r="CM24" s="422" t="s">
        <v>723</v>
      </c>
      <c r="CN24" s="422" t="s">
        <v>723</v>
      </c>
      <c r="CO24" s="422" t="s">
        <v>723</v>
      </c>
      <c r="CP24" s="422" t="s">
        <v>723</v>
      </c>
      <c r="CQ24" s="422" t="s">
        <v>723</v>
      </c>
      <c r="CR24" s="422" t="s">
        <v>723</v>
      </c>
      <c r="CS24" s="422" t="s">
        <v>723</v>
      </c>
      <c r="CT24" s="422" t="s">
        <v>723</v>
      </c>
      <c r="CU24" s="422" t="s">
        <v>723</v>
      </c>
      <c r="CV24" s="422" t="s">
        <v>723</v>
      </c>
      <c r="CW24" s="422" t="s">
        <v>723</v>
      </c>
      <c r="CX24" s="422" t="s">
        <v>723</v>
      </c>
      <c r="CY24" s="422" t="s">
        <v>723</v>
      </c>
      <c r="CZ24" s="422" t="s">
        <v>723</v>
      </c>
      <c r="DA24" s="422" t="s">
        <v>723</v>
      </c>
      <c r="DB24" s="422" t="s">
        <v>723</v>
      </c>
      <c r="DC24" s="422" t="s">
        <v>723</v>
      </c>
      <c r="DD24" s="422" t="s">
        <v>723</v>
      </c>
      <c r="DE24" s="422" t="s">
        <v>723</v>
      </c>
      <c r="DF24" s="422" t="s">
        <v>723</v>
      </c>
      <c r="DG24" s="422" t="s">
        <v>723</v>
      </c>
      <c r="DI24" s="419" t="s">
        <v>739</v>
      </c>
      <c r="DJ24" s="423" t="s">
        <v>723</v>
      </c>
      <c r="DK24" s="423" t="s">
        <v>723</v>
      </c>
      <c r="DL24" s="423" t="s">
        <v>723</v>
      </c>
      <c r="DM24" s="423" t="s">
        <v>723</v>
      </c>
      <c r="DN24" s="423" t="s">
        <v>723</v>
      </c>
      <c r="DO24" s="423" t="s">
        <v>723</v>
      </c>
      <c r="DP24" s="423" t="s">
        <v>723</v>
      </c>
      <c r="DQ24" s="423" t="s">
        <v>723</v>
      </c>
      <c r="DR24" s="423" t="s">
        <v>723</v>
      </c>
      <c r="DS24" s="423" t="s">
        <v>723</v>
      </c>
      <c r="DT24" s="423" t="s">
        <v>723</v>
      </c>
      <c r="DU24" s="423" t="s">
        <v>723</v>
      </c>
      <c r="DV24" s="423" t="s">
        <v>723</v>
      </c>
      <c r="DW24" s="423" t="s">
        <v>723</v>
      </c>
      <c r="DX24" s="423" t="s">
        <v>723</v>
      </c>
      <c r="DY24" s="423" t="s">
        <v>723</v>
      </c>
      <c r="DZ24" s="423" t="s">
        <v>723</v>
      </c>
      <c r="EA24" s="423" t="s">
        <v>723</v>
      </c>
      <c r="EB24" s="423" t="s">
        <v>723</v>
      </c>
      <c r="EC24" s="423" t="s">
        <v>723</v>
      </c>
      <c r="ED24" s="423" t="s">
        <v>723</v>
      </c>
      <c r="EE24" s="423" t="s">
        <v>723</v>
      </c>
      <c r="EF24" s="423" t="s">
        <v>723</v>
      </c>
      <c r="EG24" s="423" t="s">
        <v>723</v>
      </c>
      <c r="EH24" s="423" t="s">
        <v>723</v>
      </c>
      <c r="EI24" s="423" t="s">
        <v>723</v>
      </c>
      <c r="EJ24" s="423" t="s">
        <v>723</v>
      </c>
      <c r="EK24" s="423" t="s">
        <v>723</v>
      </c>
      <c r="EL24" s="423" t="s">
        <v>723</v>
      </c>
      <c r="EM24" s="423" t="s">
        <v>723</v>
      </c>
      <c r="EN24" s="423" t="s">
        <v>723</v>
      </c>
      <c r="EO24" s="423" t="s">
        <v>723</v>
      </c>
      <c r="EP24" s="423" t="s">
        <v>723</v>
      </c>
      <c r="EQ24" s="423" t="s">
        <v>723</v>
      </c>
      <c r="ER24" s="423" t="s">
        <v>723</v>
      </c>
      <c r="ES24" s="423" t="s">
        <v>723</v>
      </c>
      <c r="ET24" s="423" t="s">
        <v>723</v>
      </c>
      <c r="EU24" s="423" t="s">
        <v>723</v>
      </c>
      <c r="EV24" s="423" t="s">
        <v>723</v>
      </c>
      <c r="EW24" s="423" t="s">
        <v>723</v>
      </c>
      <c r="EX24" s="423" t="s">
        <v>723</v>
      </c>
      <c r="EY24" s="423" t="s">
        <v>723</v>
      </c>
      <c r="EZ24" s="423" t="s">
        <v>723</v>
      </c>
      <c r="FA24" s="423" t="s">
        <v>723</v>
      </c>
      <c r="FB24" s="423" t="s">
        <v>723</v>
      </c>
      <c r="FC24" s="423" t="s">
        <v>723</v>
      </c>
      <c r="FD24" s="423" t="s">
        <v>723</v>
      </c>
      <c r="FE24" s="423" t="s">
        <v>723</v>
      </c>
      <c r="FF24" s="423" t="s">
        <v>723</v>
      </c>
      <c r="FG24" s="423" t="s">
        <v>723</v>
      </c>
      <c r="FH24" s="423" t="s">
        <v>723</v>
      </c>
      <c r="FI24" s="423" t="s">
        <v>723</v>
      </c>
      <c r="FJ24" s="423" t="s">
        <v>723</v>
      </c>
      <c r="FK24" s="424" t="s">
        <v>723</v>
      </c>
    </row>
    <row r="25" spans="1:167" x14ac:dyDescent="0.35">
      <c r="A25" s="408" t="s">
        <v>740</v>
      </c>
      <c r="B25" s="417">
        <f t="shared" ref="B25:K30" si="60">BF25+DJ25</f>
        <v>387895</v>
      </c>
      <c r="C25" s="417">
        <f t="shared" si="60"/>
        <v>4371</v>
      </c>
      <c r="D25" s="417">
        <f t="shared" si="60"/>
        <v>17950</v>
      </c>
      <c r="E25" s="417">
        <f t="shared" si="60"/>
        <v>6667</v>
      </c>
      <c r="F25" s="417">
        <f t="shared" si="60"/>
        <v>4056</v>
      </c>
      <c r="G25" s="417">
        <f t="shared" si="60"/>
        <v>494</v>
      </c>
      <c r="H25" s="417">
        <f t="shared" si="60"/>
        <v>4880</v>
      </c>
      <c r="I25" s="417">
        <f t="shared" si="60"/>
        <v>7391</v>
      </c>
      <c r="J25" s="417">
        <f t="shared" si="60"/>
        <v>1377</v>
      </c>
      <c r="K25" s="417">
        <f t="shared" si="60"/>
        <v>1019</v>
      </c>
      <c r="L25" s="417">
        <f t="shared" ref="L25:U30" si="61">BP25+DT25</f>
        <v>4834</v>
      </c>
      <c r="M25" s="417">
        <f t="shared" si="61"/>
        <v>23546</v>
      </c>
      <c r="N25" s="417">
        <f t="shared" si="61"/>
        <v>2108</v>
      </c>
      <c r="O25" s="417">
        <f t="shared" si="61"/>
        <v>328</v>
      </c>
      <c r="P25" s="417">
        <f t="shared" si="61"/>
        <v>18911</v>
      </c>
      <c r="Q25" s="417">
        <f t="shared" si="61"/>
        <v>4590</v>
      </c>
      <c r="R25" s="417">
        <f t="shared" si="61"/>
        <v>1373</v>
      </c>
      <c r="S25" s="417">
        <f t="shared" si="61"/>
        <v>120198</v>
      </c>
      <c r="T25" s="417">
        <f t="shared" si="61"/>
        <v>3270</v>
      </c>
      <c r="U25" s="417">
        <f t="shared" si="61"/>
        <v>164903</v>
      </c>
      <c r="V25" s="417">
        <f t="shared" ref="V25:AE30" si="62">BZ25+ED25</f>
        <v>2332</v>
      </c>
      <c r="W25" s="417">
        <f t="shared" si="62"/>
        <v>350</v>
      </c>
      <c r="X25" s="417">
        <f t="shared" si="62"/>
        <v>22599</v>
      </c>
      <c r="Y25" s="417">
        <f t="shared" si="62"/>
        <v>25218</v>
      </c>
      <c r="Z25" s="417">
        <f t="shared" si="62"/>
        <v>885492</v>
      </c>
      <c r="AA25" s="417">
        <f t="shared" si="62"/>
        <v>2810</v>
      </c>
      <c r="AB25" s="417">
        <f t="shared" si="62"/>
        <v>1395</v>
      </c>
      <c r="AC25" s="417">
        <f t="shared" si="62"/>
        <v>98</v>
      </c>
      <c r="AD25" s="417">
        <f t="shared" si="62"/>
        <v>75</v>
      </c>
      <c r="AE25" s="417">
        <f t="shared" si="62"/>
        <v>971</v>
      </c>
      <c r="AF25" s="417">
        <f t="shared" ref="AF25:AO30" si="63">CJ25+EN25</f>
        <v>15</v>
      </c>
      <c r="AG25" s="417">
        <f t="shared" si="63"/>
        <v>24</v>
      </c>
      <c r="AH25" s="417">
        <f t="shared" si="63"/>
        <v>0</v>
      </c>
      <c r="AI25" s="417">
        <f t="shared" si="63"/>
        <v>10</v>
      </c>
      <c r="AJ25" s="417">
        <f t="shared" si="63"/>
        <v>88</v>
      </c>
      <c r="AK25" s="417">
        <f t="shared" si="63"/>
        <v>941477</v>
      </c>
      <c r="AL25" s="417">
        <f t="shared" si="63"/>
        <v>629</v>
      </c>
      <c r="AM25" s="417">
        <f t="shared" si="63"/>
        <v>0</v>
      </c>
      <c r="AN25" s="417">
        <f t="shared" si="63"/>
        <v>380</v>
      </c>
      <c r="AO25" s="417">
        <f t="shared" si="63"/>
        <v>761</v>
      </c>
      <c r="AP25" s="417">
        <f t="shared" ref="AP25:AY30" si="64">CT25+EX25</f>
        <v>654</v>
      </c>
      <c r="AQ25" s="417">
        <f t="shared" si="64"/>
        <v>4822</v>
      </c>
      <c r="AR25" s="417">
        <f t="shared" si="64"/>
        <v>139871</v>
      </c>
      <c r="AS25" s="417">
        <f t="shared" si="64"/>
        <v>1270</v>
      </c>
      <c r="AT25" s="417">
        <f t="shared" si="64"/>
        <v>18674</v>
      </c>
      <c r="AU25" s="417">
        <f t="shared" si="64"/>
        <v>1409</v>
      </c>
      <c r="AV25" s="417">
        <f t="shared" si="64"/>
        <v>1290</v>
      </c>
      <c r="AW25" s="417">
        <f t="shared" si="64"/>
        <v>0</v>
      </c>
      <c r="AX25" s="417">
        <f t="shared" si="64"/>
        <v>0</v>
      </c>
      <c r="AY25" s="417">
        <f t="shared" si="64"/>
        <v>1748</v>
      </c>
      <c r="AZ25" s="417">
        <f t="shared" ref="AZ25:BC30" si="65">DD25+FH25</f>
        <v>1</v>
      </c>
      <c r="BA25" s="417">
        <f t="shared" si="65"/>
        <v>74</v>
      </c>
      <c r="BB25" s="417">
        <f t="shared" si="65"/>
        <v>4423</v>
      </c>
      <c r="BC25" s="417">
        <f t="shared" si="65"/>
        <v>1509749</v>
      </c>
      <c r="BD25" s="292"/>
      <c r="BE25" s="408" t="s">
        <v>740</v>
      </c>
      <c r="BF25" s="418">
        <v>250524</v>
      </c>
      <c r="BG25" s="418">
        <v>3859</v>
      </c>
      <c r="BH25" s="418">
        <v>16810</v>
      </c>
      <c r="BI25" s="418">
        <v>6594</v>
      </c>
      <c r="BJ25" s="418">
        <v>3270</v>
      </c>
      <c r="BK25" s="418">
        <v>319</v>
      </c>
      <c r="BL25" s="418">
        <v>2528</v>
      </c>
      <c r="BM25" s="418">
        <v>4030</v>
      </c>
      <c r="BN25" s="418">
        <v>1009</v>
      </c>
      <c r="BO25" s="418">
        <v>949</v>
      </c>
      <c r="BP25" s="418">
        <v>4234</v>
      </c>
      <c r="BQ25" s="418">
        <v>17055</v>
      </c>
      <c r="BR25" s="418">
        <v>1707</v>
      </c>
      <c r="BS25" s="418">
        <v>230</v>
      </c>
      <c r="BT25" s="418">
        <v>15505</v>
      </c>
      <c r="BU25" s="418">
        <v>4169</v>
      </c>
      <c r="BV25" s="418">
        <v>919</v>
      </c>
      <c r="BW25" s="418">
        <v>14707</v>
      </c>
      <c r="BX25" s="418">
        <v>2401</v>
      </c>
      <c r="BY25" s="418">
        <v>154088</v>
      </c>
      <c r="BZ25" s="418">
        <v>2332</v>
      </c>
      <c r="CA25" s="418">
        <v>257</v>
      </c>
      <c r="CB25" s="418">
        <v>13561</v>
      </c>
      <c r="CC25" s="418">
        <v>35</v>
      </c>
      <c r="CD25" s="418">
        <v>519</v>
      </c>
      <c r="CE25" s="418">
        <v>417</v>
      </c>
      <c r="CF25" s="418">
        <v>1</v>
      </c>
      <c r="CG25" s="418">
        <v>0</v>
      </c>
      <c r="CH25" s="418">
        <v>75</v>
      </c>
      <c r="CI25" s="418">
        <v>117</v>
      </c>
      <c r="CJ25" s="418">
        <v>15</v>
      </c>
      <c r="CK25" s="418">
        <v>24</v>
      </c>
      <c r="CL25" s="418">
        <v>0</v>
      </c>
      <c r="CM25" s="418">
        <v>10</v>
      </c>
      <c r="CN25" s="418">
        <v>88</v>
      </c>
      <c r="CO25" s="418">
        <v>17451</v>
      </c>
      <c r="CP25" s="418">
        <v>620</v>
      </c>
      <c r="CQ25" s="418">
        <v>0</v>
      </c>
      <c r="CR25" s="418">
        <v>125</v>
      </c>
      <c r="CS25" s="418">
        <v>761</v>
      </c>
      <c r="CT25" s="418">
        <v>654</v>
      </c>
      <c r="CU25" s="418">
        <v>4618</v>
      </c>
      <c r="CV25" s="418">
        <v>136648</v>
      </c>
      <c r="CW25" s="418">
        <v>235</v>
      </c>
      <c r="CX25" s="418">
        <v>831</v>
      </c>
      <c r="CY25" s="418">
        <v>1409</v>
      </c>
      <c r="CZ25" s="418">
        <v>1290</v>
      </c>
      <c r="DA25" s="418">
        <v>0</v>
      </c>
      <c r="DB25" s="418">
        <v>0</v>
      </c>
      <c r="DC25" s="418">
        <v>1748</v>
      </c>
      <c r="DD25" s="418">
        <v>1</v>
      </c>
      <c r="DE25" s="418">
        <v>68</v>
      </c>
      <c r="DF25" s="418">
        <v>4176</v>
      </c>
      <c r="DG25" s="418">
        <v>425018</v>
      </c>
      <c r="DI25" s="419" t="s">
        <v>740</v>
      </c>
      <c r="DJ25" s="420">
        <v>137371</v>
      </c>
      <c r="DK25" s="420">
        <v>512</v>
      </c>
      <c r="DL25" s="420">
        <v>1140</v>
      </c>
      <c r="DM25" s="420">
        <v>73</v>
      </c>
      <c r="DN25" s="420">
        <v>786</v>
      </c>
      <c r="DO25" s="420">
        <v>175</v>
      </c>
      <c r="DP25" s="420">
        <v>2352</v>
      </c>
      <c r="DQ25" s="420">
        <v>3361</v>
      </c>
      <c r="DR25" s="420">
        <v>368</v>
      </c>
      <c r="DS25" s="420">
        <v>70</v>
      </c>
      <c r="DT25" s="420">
        <v>600</v>
      </c>
      <c r="DU25" s="420">
        <v>6491</v>
      </c>
      <c r="DV25" s="420">
        <v>401</v>
      </c>
      <c r="DW25" s="420">
        <v>98</v>
      </c>
      <c r="DX25" s="420">
        <v>3406</v>
      </c>
      <c r="DY25" s="420">
        <v>421</v>
      </c>
      <c r="DZ25" s="420">
        <v>454</v>
      </c>
      <c r="EA25" s="420">
        <v>105491</v>
      </c>
      <c r="EB25" s="420">
        <v>869</v>
      </c>
      <c r="EC25" s="420">
        <v>10815</v>
      </c>
      <c r="ED25" s="420">
        <v>0</v>
      </c>
      <c r="EE25" s="420">
        <v>93</v>
      </c>
      <c r="EF25" s="420">
        <v>9038</v>
      </c>
      <c r="EG25" s="420">
        <v>25183</v>
      </c>
      <c r="EH25" s="420">
        <v>884973</v>
      </c>
      <c r="EI25" s="420">
        <v>2393</v>
      </c>
      <c r="EJ25" s="420">
        <v>1394</v>
      </c>
      <c r="EK25" s="420">
        <v>98</v>
      </c>
      <c r="EL25" s="420">
        <v>0</v>
      </c>
      <c r="EM25" s="420">
        <v>854</v>
      </c>
      <c r="EN25" s="420">
        <v>0</v>
      </c>
      <c r="EO25" s="420">
        <v>0</v>
      </c>
      <c r="EP25" s="420">
        <v>0</v>
      </c>
      <c r="EQ25" s="420">
        <v>0</v>
      </c>
      <c r="ER25" s="420">
        <v>0</v>
      </c>
      <c r="ES25" s="420">
        <v>924026</v>
      </c>
      <c r="ET25" s="420">
        <v>9</v>
      </c>
      <c r="EU25" s="420">
        <v>0</v>
      </c>
      <c r="EV25" s="420">
        <v>255</v>
      </c>
      <c r="EW25" s="420">
        <v>0</v>
      </c>
      <c r="EX25" s="420">
        <v>0</v>
      </c>
      <c r="EY25" s="420">
        <v>204</v>
      </c>
      <c r="EZ25" s="420">
        <v>3223</v>
      </c>
      <c r="FA25" s="420">
        <v>1035</v>
      </c>
      <c r="FB25" s="420">
        <v>17843</v>
      </c>
      <c r="FC25" s="420">
        <v>0</v>
      </c>
      <c r="FD25" s="420">
        <v>0</v>
      </c>
      <c r="FE25" s="420">
        <v>0</v>
      </c>
      <c r="FF25" s="420">
        <v>0</v>
      </c>
      <c r="FG25" s="420">
        <v>0</v>
      </c>
      <c r="FH25" s="420">
        <v>0</v>
      </c>
      <c r="FI25" s="420">
        <v>6</v>
      </c>
      <c r="FJ25" s="420">
        <v>247</v>
      </c>
      <c r="FK25" s="421">
        <v>1084731</v>
      </c>
    </row>
    <row r="26" spans="1:167" x14ac:dyDescent="0.35">
      <c r="A26" s="408" t="s">
        <v>741</v>
      </c>
      <c r="B26" s="417">
        <f t="shared" si="60"/>
        <v>10867124</v>
      </c>
      <c r="C26" s="417">
        <f t="shared" si="60"/>
        <v>48672</v>
      </c>
      <c r="D26" s="417">
        <f t="shared" si="60"/>
        <v>180362</v>
      </c>
      <c r="E26" s="417">
        <f t="shared" si="60"/>
        <v>56637</v>
      </c>
      <c r="F26" s="417">
        <f t="shared" si="60"/>
        <v>71307</v>
      </c>
      <c r="G26" s="417">
        <f t="shared" si="60"/>
        <v>38651</v>
      </c>
      <c r="H26" s="417">
        <f t="shared" si="60"/>
        <v>499293</v>
      </c>
      <c r="I26" s="417">
        <f t="shared" si="60"/>
        <v>132863</v>
      </c>
      <c r="J26" s="417">
        <f t="shared" si="60"/>
        <v>108968</v>
      </c>
      <c r="K26" s="417">
        <f t="shared" si="60"/>
        <v>321873</v>
      </c>
      <c r="L26" s="417">
        <f t="shared" si="61"/>
        <v>313159</v>
      </c>
      <c r="M26" s="417">
        <f t="shared" si="61"/>
        <v>299450</v>
      </c>
      <c r="N26" s="417">
        <f t="shared" si="61"/>
        <v>38474</v>
      </c>
      <c r="O26" s="417">
        <f t="shared" si="61"/>
        <v>37558</v>
      </c>
      <c r="P26" s="417">
        <f t="shared" si="61"/>
        <v>666654</v>
      </c>
      <c r="Q26" s="417">
        <f t="shared" si="61"/>
        <v>138131</v>
      </c>
      <c r="R26" s="417">
        <f t="shared" si="61"/>
        <v>296245</v>
      </c>
      <c r="S26" s="417">
        <f t="shared" si="61"/>
        <v>7164582</v>
      </c>
      <c r="T26" s="417">
        <f t="shared" si="61"/>
        <v>43179</v>
      </c>
      <c r="U26" s="417">
        <f t="shared" si="61"/>
        <v>459738</v>
      </c>
      <c r="V26" s="417">
        <f t="shared" si="62"/>
        <v>18969</v>
      </c>
      <c r="W26" s="417">
        <f t="shared" si="62"/>
        <v>2239</v>
      </c>
      <c r="X26" s="417">
        <f t="shared" si="62"/>
        <v>122191</v>
      </c>
      <c r="Y26" s="417">
        <f t="shared" si="62"/>
        <v>4526</v>
      </c>
      <c r="Z26" s="417">
        <f t="shared" si="62"/>
        <v>3717</v>
      </c>
      <c r="AA26" s="417">
        <f t="shared" si="62"/>
        <v>10463</v>
      </c>
      <c r="AB26" s="417">
        <f t="shared" si="62"/>
        <v>6400</v>
      </c>
      <c r="AC26" s="417">
        <f t="shared" si="62"/>
        <v>843</v>
      </c>
      <c r="AD26" s="417">
        <f t="shared" si="62"/>
        <v>5237</v>
      </c>
      <c r="AE26" s="417">
        <f t="shared" si="62"/>
        <v>1476</v>
      </c>
      <c r="AF26" s="417">
        <f t="shared" si="63"/>
        <v>2559</v>
      </c>
      <c r="AG26" s="417">
        <f t="shared" si="63"/>
        <v>80</v>
      </c>
      <c r="AH26" s="417">
        <f t="shared" si="63"/>
        <v>1105</v>
      </c>
      <c r="AI26" s="417">
        <f t="shared" si="63"/>
        <v>148</v>
      </c>
      <c r="AJ26" s="417">
        <f t="shared" si="63"/>
        <v>903</v>
      </c>
      <c r="AK26" s="417">
        <f t="shared" si="63"/>
        <v>180856</v>
      </c>
      <c r="AL26" s="417">
        <f t="shared" si="63"/>
        <v>5864</v>
      </c>
      <c r="AM26" s="417">
        <f t="shared" si="63"/>
        <v>1184</v>
      </c>
      <c r="AN26" s="417">
        <f t="shared" si="63"/>
        <v>4404</v>
      </c>
      <c r="AO26" s="417">
        <f t="shared" si="63"/>
        <v>616</v>
      </c>
      <c r="AP26" s="417">
        <f t="shared" si="64"/>
        <v>97</v>
      </c>
      <c r="AQ26" s="417">
        <f t="shared" si="64"/>
        <v>220274</v>
      </c>
      <c r="AR26" s="417">
        <f t="shared" si="64"/>
        <v>382</v>
      </c>
      <c r="AS26" s="417">
        <f t="shared" si="64"/>
        <v>2990</v>
      </c>
      <c r="AT26" s="417">
        <f t="shared" si="64"/>
        <v>153174</v>
      </c>
      <c r="AU26" s="417">
        <f t="shared" si="64"/>
        <v>16761</v>
      </c>
      <c r="AV26" s="417">
        <f t="shared" si="64"/>
        <v>58436</v>
      </c>
      <c r="AW26" s="417">
        <f t="shared" si="64"/>
        <v>0</v>
      </c>
      <c r="AX26" s="417">
        <f t="shared" si="64"/>
        <v>17794</v>
      </c>
      <c r="AY26" s="417">
        <f t="shared" si="64"/>
        <v>358098</v>
      </c>
      <c r="AZ26" s="417">
        <f t="shared" si="65"/>
        <v>0</v>
      </c>
      <c r="BA26" s="417">
        <f t="shared" si="65"/>
        <v>24</v>
      </c>
      <c r="BB26" s="417">
        <f t="shared" si="65"/>
        <v>6945</v>
      </c>
      <c r="BC26" s="417">
        <f t="shared" si="65"/>
        <v>11943695</v>
      </c>
      <c r="BD26" s="292"/>
      <c r="BE26" s="408" t="s">
        <v>741</v>
      </c>
      <c r="BF26" s="418">
        <v>503930</v>
      </c>
      <c r="BG26" s="418">
        <v>775</v>
      </c>
      <c r="BH26" s="418">
        <v>27415</v>
      </c>
      <c r="BI26" s="418">
        <v>8939</v>
      </c>
      <c r="BJ26" s="418">
        <v>11040</v>
      </c>
      <c r="BK26" s="418">
        <v>10240</v>
      </c>
      <c r="BL26" s="418">
        <v>57924</v>
      </c>
      <c r="BM26" s="418">
        <v>9191</v>
      </c>
      <c r="BN26" s="418">
        <v>3633</v>
      </c>
      <c r="BO26" s="418">
        <v>26732</v>
      </c>
      <c r="BP26" s="418">
        <v>25189</v>
      </c>
      <c r="BQ26" s="418">
        <v>28992</v>
      </c>
      <c r="BR26" s="418">
        <v>1640</v>
      </c>
      <c r="BS26" s="418">
        <v>3597</v>
      </c>
      <c r="BT26" s="418">
        <v>92620</v>
      </c>
      <c r="BU26" s="418">
        <v>20079</v>
      </c>
      <c r="BV26" s="418">
        <v>49344</v>
      </c>
      <c r="BW26" s="418">
        <v>89071</v>
      </c>
      <c r="BX26" s="418">
        <v>25082</v>
      </c>
      <c r="BY26" s="418">
        <v>13202</v>
      </c>
      <c r="BZ26" s="418">
        <v>18969</v>
      </c>
      <c r="CA26" s="418">
        <v>2162</v>
      </c>
      <c r="CB26" s="418">
        <v>118849</v>
      </c>
      <c r="CC26" s="418">
        <v>2052</v>
      </c>
      <c r="CD26" s="418">
        <v>1091</v>
      </c>
      <c r="CE26" s="418">
        <v>7165</v>
      </c>
      <c r="CF26" s="418">
        <v>5189</v>
      </c>
      <c r="CG26" s="418">
        <v>143</v>
      </c>
      <c r="CH26" s="418">
        <v>5237</v>
      </c>
      <c r="CI26" s="418">
        <v>1163</v>
      </c>
      <c r="CJ26" s="418">
        <v>640</v>
      </c>
      <c r="CK26" s="418">
        <v>80</v>
      </c>
      <c r="CL26" s="418">
        <v>4</v>
      </c>
      <c r="CM26" s="418">
        <v>148</v>
      </c>
      <c r="CN26" s="418">
        <v>346</v>
      </c>
      <c r="CO26" s="418">
        <v>163238</v>
      </c>
      <c r="CP26" s="418">
        <v>1011</v>
      </c>
      <c r="CQ26" s="418">
        <v>1071</v>
      </c>
      <c r="CR26" s="418">
        <v>3808</v>
      </c>
      <c r="CS26" s="418">
        <v>616</v>
      </c>
      <c r="CT26" s="418">
        <v>97</v>
      </c>
      <c r="CU26" s="418">
        <v>173448</v>
      </c>
      <c r="CV26" s="418">
        <v>382</v>
      </c>
      <c r="CW26" s="418">
        <v>2232</v>
      </c>
      <c r="CX26" s="418">
        <v>16736</v>
      </c>
      <c r="CY26" s="418">
        <v>11260</v>
      </c>
      <c r="CZ26" s="418">
        <v>8850</v>
      </c>
      <c r="DA26" s="418">
        <v>0</v>
      </c>
      <c r="DB26" s="418">
        <v>1183</v>
      </c>
      <c r="DC26" s="418">
        <v>16991</v>
      </c>
      <c r="DD26" s="418">
        <v>0</v>
      </c>
      <c r="DE26" s="418">
        <v>24</v>
      </c>
      <c r="DF26" s="418">
        <v>1091</v>
      </c>
      <c r="DG26" s="418">
        <v>906743</v>
      </c>
      <c r="DI26" s="419" t="s">
        <v>741</v>
      </c>
      <c r="DJ26" s="420">
        <v>10363194</v>
      </c>
      <c r="DK26" s="420">
        <v>47897</v>
      </c>
      <c r="DL26" s="420">
        <v>152947</v>
      </c>
      <c r="DM26" s="420">
        <v>47698</v>
      </c>
      <c r="DN26" s="420">
        <v>60267</v>
      </c>
      <c r="DO26" s="420">
        <v>28411</v>
      </c>
      <c r="DP26" s="420">
        <v>441369</v>
      </c>
      <c r="DQ26" s="420">
        <v>123672</v>
      </c>
      <c r="DR26" s="420">
        <v>105335</v>
      </c>
      <c r="DS26" s="420">
        <v>295141</v>
      </c>
      <c r="DT26" s="420">
        <v>287970</v>
      </c>
      <c r="DU26" s="420">
        <v>270458</v>
      </c>
      <c r="DV26" s="420">
        <v>36834</v>
      </c>
      <c r="DW26" s="420">
        <v>33961</v>
      </c>
      <c r="DX26" s="420">
        <v>574034</v>
      </c>
      <c r="DY26" s="420">
        <v>118052</v>
      </c>
      <c r="DZ26" s="420">
        <v>246901</v>
      </c>
      <c r="EA26" s="420">
        <v>7075511</v>
      </c>
      <c r="EB26" s="420">
        <v>18097</v>
      </c>
      <c r="EC26" s="420">
        <v>446536</v>
      </c>
      <c r="ED26" s="420">
        <v>0</v>
      </c>
      <c r="EE26" s="420">
        <v>77</v>
      </c>
      <c r="EF26" s="420">
        <v>3342</v>
      </c>
      <c r="EG26" s="420">
        <v>2474</v>
      </c>
      <c r="EH26" s="420">
        <v>2626</v>
      </c>
      <c r="EI26" s="420">
        <v>3298</v>
      </c>
      <c r="EJ26" s="420">
        <v>1211</v>
      </c>
      <c r="EK26" s="420">
        <v>700</v>
      </c>
      <c r="EL26" s="420">
        <v>0</v>
      </c>
      <c r="EM26" s="420">
        <v>313</v>
      </c>
      <c r="EN26" s="420">
        <v>1919</v>
      </c>
      <c r="EO26" s="420">
        <v>0</v>
      </c>
      <c r="EP26" s="420">
        <v>1101</v>
      </c>
      <c r="EQ26" s="420">
        <v>0</v>
      </c>
      <c r="ER26" s="420">
        <v>557</v>
      </c>
      <c r="ES26" s="420">
        <v>17618</v>
      </c>
      <c r="ET26" s="420">
        <v>4853</v>
      </c>
      <c r="EU26" s="420">
        <v>113</v>
      </c>
      <c r="EV26" s="420">
        <v>596</v>
      </c>
      <c r="EW26" s="420">
        <v>0</v>
      </c>
      <c r="EX26" s="420">
        <v>0</v>
      </c>
      <c r="EY26" s="420">
        <v>46826</v>
      </c>
      <c r="EZ26" s="420">
        <v>0</v>
      </c>
      <c r="FA26" s="420">
        <v>758</v>
      </c>
      <c r="FB26" s="420">
        <v>136438</v>
      </c>
      <c r="FC26" s="420">
        <v>5501</v>
      </c>
      <c r="FD26" s="420">
        <v>49586</v>
      </c>
      <c r="FE26" s="420">
        <v>0</v>
      </c>
      <c r="FF26" s="420">
        <v>16611</v>
      </c>
      <c r="FG26" s="420">
        <v>341107</v>
      </c>
      <c r="FH26" s="420">
        <v>0</v>
      </c>
      <c r="FI26" s="420">
        <v>0</v>
      </c>
      <c r="FJ26" s="420">
        <v>5854</v>
      </c>
      <c r="FK26" s="421">
        <v>11036952</v>
      </c>
    </row>
    <row r="27" spans="1:167" x14ac:dyDescent="0.35">
      <c r="A27" s="408" t="s">
        <v>742</v>
      </c>
      <c r="B27" s="417">
        <f t="shared" si="60"/>
        <v>1291369</v>
      </c>
      <c r="C27" s="417">
        <f t="shared" si="60"/>
        <v>945</v>
      </c>
      <c r="D27" s="417">
        <f t="shared" si="60"/>
        <v>31213</v>
      </c>
      <c r="E27" s="417">
        <f t="shared" si="60"/>
        <v>6388</v>
      </c>
      <c r="F27" s="417">
        <f t="shared" si="60"/>
        <v>16550</v>
      </c>
      <c r="G27" s="417">
        <f t="shared" si="60"/>
        <v>6890</v>
      </c>
      <c r="H27" s="417">
        <f t="shared" si="60"/>
        <v>54612</v>
      </c>
      <c r="I27" s="417">
        <f t="shared" si="60"/>
        <v>10939</v>
      </c>
      <c r="J27" s="417">
        <f t="shared" si="60"/>
        <v>18262</v>
      </c>
      <c r="K27" s="417">
        <f t="shared" si="60"/>
        <v>27432</v>
      </c>
      <c r="L27" s="417">
        <f t="shared" si="61"/>
        <v>34234</v>
      </c>
      <c r="M27" s="417">
        <f t="shared" si="61"/>
        <v>17193</v>
      </c>
      <c r="N27" s="417">
        <f t="shared" si="61"/>
        <v>13544</v>
      </c>
      <c r="O27" s="417">
        <f t="shared" si="61"/>
        <v>3578</v>
      </c>
      <c r="P27" s="417">
        <f t="shared" si="61"/>
        <v>86164</v>
      </c>
      <c r="Q27" s="417">
        <f t="shared" si="61"/>
        <v>18018</v>
      </c>
      <c r="R27" s="417">
        <f t="shared" si="61"/>
        <v>33781</v>
      </c>
      <c r="S27" s="417">
        <f t="shared" si="61"/>
        <v>821984</v>
      </c>
      <c r="T27" s="417">
        <f t="shared" si="61"/>
        <v>594</v>
      </c>
      <c r="U27" s="417">
        <f t="shared" si="61"/>
        <v>89993</v>
      </c>
      <c r="V27" s="417">
        <f t="shared" si="62"/>
        <v>667</v>
      </c>
      <c r="W27" s="417">
        <f t="shared" si="62"/>
        <v>14</v>
      </c>
      <c r="X27" s="417">
        <f t="shared" si="62"/>
        <v>2018</v>
      </c>
      <c r="Y27" s="417">
        <f t="shared" si="62"/>
        <v>4071</v>
      </c>
      <c r="Z27" s="417">
        <f t="shared" si="62"/>
        <v>2733</v>
      </c>
      <c r="AA27" s="417">
        <f t="shared" si="62"/>
        <v>62</v>
      </c>
      <c r="AB27" s="417">
        <f t="shared" si="62"/>
        <v>87</v>
      </c>
      <c r="AC27" s="417">
        <f t="shared" si="62"/>
        <v>138</v>
      </c>
      <c r="AD27" s="417">
        <f t="shared" si="62"/>
        <v>228</v>
      </c>
      <c r="AE27" s="417">
        <f t="shared" si="62"/>
        <v>101</v>
      </c>
      <c r="AF27" s="417">
        <f t="shared" si="63"/>
        <v>63</v>
      </c>
      <c r="AG27" s="417">
        <f t="shared" si="63"/>
        <v>43</v>
      </c>
      <c r="AH27" s="417">
        <f t="shared" si="63"/>
        <v>5</v>
      </c>
      <c r="AI27" s="417">
        <f t="shared" si="63"/>
        <v>1</v>
      </c>
      <c r="AJ27" s="417">
        <f t="shared" si="63"/>
        <v>88</v>
      </c>
      <c r="AK27" s="417">
        <f t="shared" si="63"/>
        <v>10319</v>
      </c>
      <c r="AL27" s="417">
        <f t="shared" si="63"/>
        <v>315</v>
      </c>
      <c r="AM27" s="417">
        <f t="shared" si="63"/>
        <v>61</v>
      </c>
      <c r="AN27" s="417">
        <f t="shared" si="63"/>
        <v>109</v>
      </c>
      <c r="AO27" s="417">
        <f t="shared" si="63"/>
        <v>1207</v>
      </c>
      <c r="AP27" s="417">
        <f t="shared" si="64"/>
        <v>1190</v>
      </c>
      <c r="AQ27" s="417">
        <f t="shared" si="64"/>
        <v>27169</v>
      </c>
      <c r="AR27" s="417">
        <f t="shared" si="64"/>
        <v>14</v>
      </c>
      <c r="AS27" s="417">
        <f t="shared" si="64"/>
        <v>3569</v>
      </c>
      <c r="AT27" s="417">
        <f t="shared" si="64"/>
        <v>112848</v>
      </c>
      <c r="AU27" s="417">
        <f t="shared" si="64"/>
        <v>489</v>
      </c>
      <c r="AV27" s="417">
        <f t="shared" si="64"/>
        <v>6395</v>
      </c>
      <c r="AW27" s="417">
        <f t="shared" si="64"/>
        <v>114</v>
      </c>
      <c r="AX27" s="417">
        <f t="shared" si="64"/>
        <v>598</v>
      </c>
      <c r="AY27" s="417">
        <f t="shared" si="64"/>
        <v>187791</v>
      </c>
      <c r="AZ27" s="417">
        <f t="shared" si="65"/>
        <v>2</v>
      </c>
      <c r="BA27" s="417">
        <f t="shared" si="65"/>
        <v>2</v>
      </c>
      <c r="BB27" s="417">
        <f t="shared" si="65"/>
        <v>626</v>
      </c>
      <c r="BC27" s="417">
        <f t="shared" si="65"/>
        <v>1645132</v>
      </c>
      <c r="BD27" s="292"/>
      <c r="BE27" s="408" t="s">
        <v>742</v>
      </c>
      <c r="BF27" s="418">
        <v>431288</v>
      </c>
      <c r="BG27" s="418">
        <v>595</v>
      </c>
      <c r="BH27" s="418">
        <v>30972</v>
      </c>
      <c r="BI27" s="418">
        <v>6381</v>
      </c>
      <c r="BJ27" s="418">
        <v>16496</v>
      </c>
      <c r="BK27" s="418">
        <v>6844</v>
      </c>
      <c r="BL27" s="418">
        <v>54176</v>
      </c>
      <c r="BM27" s="418">
        <v>10925</v>
      </c>
      <c r="BN27" s="418">
        <v>3326</v>
      </c>
      <c r="BO27" s="418">
        <v>22001</v>
      </c>
      <c r="BP27" s="418">
        <v>30104</v>
      </c>
      <c r="BQ27" s="418">
        <v>17100</v>
      </c>
      <c r="BR27" s="418">
        <v>13521</v>
      </c>
      <c r="BS27" s="418">
        <v>3544</v>
      </c>
      <c r="BT27" s="418">
        <v>83638</v>
      </c>
      <c r="BU27" s="418">
        <v>17766</v>
      </c>
      <c r="BV27" s="418">
        <v>33358</v>
      </c>
      <c r="BW27" s="418">
        <v>60813</v>
      </c>
      <c r="BX27" s="418">
        <v>589</v>
      </c>
      <c r="BY27" s="418">
        <v>19734</v>
      </c>
      <c r="BZ27" s="418">
        <v>667</v>
      </c>
      <c r="CA27" s="418">
        <v>14</v>
      </c>
      <c r="CB27" s="418">
        <v>2016</v>
      </c>
      <c r="CC27" s="418">
        <v>4070</v>
      </c>
      <c r="CD27" s="418">
        <v>342</v>
      </c>
      <c r="CE27" s="418">
        <v>61</v>
      </c>
      <c r="CF27" s="418">
        <v>87</v>
      </c>
      <c r="CG27" s="418">
        <v>39</v>
      </c>
      <c r="CH27" s="418">
        <v>228</v>
      </c>
      <c r="CI27" s="418">
        <v>69</v>
      </c>
      <c r="CJ27" s="418">
        <v>63</v>
      </c>
      <c r="CK27" s="418">
        <v>43</v>
      </c>
      <c r="CL27" s="418">
        <v>5</v>
      </c>
      <c r="CM27" s="418">
        <v>1</v>
      </c>
      <c r="CN27" s="418">
        <v>69</v>
      </c>
      <c r="CO27" s="418">
        <v>7774</v>
      </c>
      <c r="CP27" s="418">
        <v>217</v>
      </c>
      <c r="CQ27" s="418">
        <v>61</v>
      </c>
      <c r="CR27" s="418">
        <v>109</v>
      </c>
      <c r="CS27" s="418">
        <v>1207</v>
      </c>
      <c r="CT27" s="418">
        <v>1190</v>
      </c>
      <c r="CU27" s="418">
        <v>21841</v>
      </c>
      <c r="CV27" s="418">
        <v>14</v>
      </c>
      <c r="CW27" s="418">
        <v>3475</v>
      </c>
      <c r="CX27" s="418">
        <v>56692</v>
      </c>
      <c r="CY27" s="418">
        <v>419</v>
      </c>
      <c r="CZ27" s="418">
        <v>4851</v>
      </c>
      <c r="DA27" s="418">
        <v>114</v>
      </c>
      <c r="DB27" s="418">
        <v>40</v>
      </c>
      <c r="DC27" s="418">
        <v>187791</v>
      </c>
      <c r="DD27" s="418">
        <v>2</v>
      </c>
      <c r="DE27" s="418">
        <v>2</v>
      </c>
      <c r="DF27" s="418">
        <v>598</v>
      </c>
      <c r="DG27" s="418">
        <v>718280</v>
      </c>
      <c r="DI27" s="419" t="s">
        <v>742</v>
      </c>
      <c r="DJ27" s="420">
        <v>860081</v>
      </c>
      <c r="DK27" s="420">
        <v>350</v>
      </c>
      <c r="DL27" s="420">
        <v>241</v>
      </c>
      <c r="DM27" s="420">
        <v>7</v>
      </c>
      <c r="DN27" s="420">
        <v>54</v>
      </c>
      <c r="DO27" s="420">
        <v>46</v>
      </c>
      <c r="DP27" s="420">
        <v>436</v>
      </c>
      <c r="DQ27" s="420">
        <v>14</v>
      </c>
      <c r="DR27" s="420">
        <v>14936</v>
      </c>
      <c r="DS27" s="420">
        <v>5431</v>
      </c>
      <c r="DT27" s="420">
        <v>4130</v>
      </c>
      <c r="DU27" s="420">
        <v>93</v>
      </c>
      <c r="DV27" s="420">
        <v>23</v>
      </c>
      <c r="DW27" s="420">
        <v>34</v>
      </c>
      <c r="DX27" s="420">
        <v>2526</v>
      </c>
      <c r="DY27" s="420">
        <v>252</v>
      </c>
      <c r="DZ27" s="420">
        <v>423</v>
      </c>
      <c r="EA27" s="420">
        <v>761171</v>
      </c>
      <c r="EB27" s="420">
        <v>5</v>
      </c>
      <c r="EC27" s="420">
        <v>70259</v>
      </c>
      <c r="ED27" s="420">
        <v>0</v>
      </c>
      <c r="EE27" s="420">
        <v>0</v>
      </c>
      <c r="EF27" s="420">
        <v>2</v>
      </c>
      <c r="EG27" s="420">
        <v>1</v>
      </c>
      <c r="EH27" s="420">
        <v>2391</v>
      </c>
      <c r="EI27" s="420">
        <v>1</v>
      </c>
      <c r="EJ27" s="420">
        <v>0</v>
      </c>
      <c r="EK27" s="420">
        <v>99</v>
      </c>
      <c r="EL27" s="420">
        <v>0</v>
      </c>
      <c r="EM27" s="420">
        <v>32</v>
      </c>
      <c r="EN27" s="420">
        <v>0</v>
      </c>
      <c r="EO27" s="420">
        <v>0</v>
      </c>
      <c r="EP27" s="420">
        <v>0</v>
      </c>
      <c r="EQ27" s="420">
        <v>0</v>
      </c>
      <c r="ER27" s="420">
        <v>19</v>
      </c>
      <c r="ES27" s="420">
        <v>2545</v>
      </c>
      <c r="ET27" s="420">
        <v>98</v>
      </c>
      <c r="EU27" s="420">
        <v>0</v>
      </c>
      <c r="EV27" s="420">
        <v>0</v>
      </c>
      <c r="EW27" s="420">
        <v>0</v>
      </c>
      <c r="EX27" s="420">
        <v>0</v>
      </c>
      <c r="EY27" s="420">
        <v>5328</v>
      </c>
      <c r="EZ27" s="420">
        <v>0</v>
      </c>
      <c r="FA27" s="420">
        <v>94</v>
      </c>
      <c r="FB27" s="420">
        <v>56156</v>
      </c>
      <c r="FC27" s="420">
        <v>70</v>
      </c>
      <c r="FD27" s="420">
        <v>1544</v>
      </c>
      <c r="FE27" s="420">
        <v>0</v>
      </c>
      <c r="FF27" s="420">
        <v>558</v>
      </c>
      <c r="FG27" s="420">
        <v>0</v>
      </c>
      <c r="FH27" s="420">
        <v>0</v>
      </c>
      <c r="FI27" s="420">
        <v>0</v>
      </c>
      <c r="FJ27" s="420">
        <v>28</v>
      </c>
      <c r="FK27" s="421">
        <v>926852</v>
      </c>
    </row>
    <row r="28" spans="1:167" x14ac:dyDescent="0.35">
      <c r="A28" s="408" t="s">
        <v>743</v>
      </c>
      <c r="B28" s="417">
        <f t="shared" si="60"/>
        <v>419589</v>
      </c>
      <c r="C28" s="417">
        <f t="shared" si="60"/>
        <v>4572</v>
      </c>
      <c r="D28" s="417">
        <f t="shared" si="60"/>
        <v>1520</v>
      </c>
      <c r="E28" s="417">
        <f t="shared" si="60"/>
        <v>389</v>
      </c>
      <c r="F28" s="417">
        <f t="shared" si="60"/>
        <v>723</v>
      </c>
      <c r="G28" s="417">
        <f t="shared" si="60"/>
        <v>1578</v>
      </c>
      <c r="H28" s="417">
        <f t="shared" si="60"/>
        <v>43932</v>
      </c>
      <c r="I28" s="417">
        <f t="shared" si="60"/>
        <v>7226</v>
      </c>
      <c r="J28" s="417">
        <f t="shared" si="60"/>
        <v>1470</v>
      </c>
      <c r="K28" s="417">
        <f t="shared" si="60"/>
        <v>8698</v>
      </c>
      <c r="L28" s="417">
        <f t="shared" si="61"/>
        <v>13416</v>
      </c>
      <c r="M28" s="417">
        <f t="shared" si="61"/>
        <v>19106</v>
      </c>
      <c r="N28" s="417">
        <f t="shared" si="61"/>
        <v>5355</v>
      </c>
      <c r="O28" s="417">
        <f t="shared" si="61"/>
        <v>1344</v>
      </c>
      <c r="P28" s="417">
        <f t="shared" si="61"/>
        <v>53034</v>
      </c>
      <c r="Q28" s="417">
        <f t="shared" si="61"/>
        <v>4857</v>
      </c>
      <c r="R28" s="417">
        <f t="shared" si="61"/>
        <v>5184</v>
      </c>
      <c r="S28" s="417">
        <f t="shared" si="61"/>
        <v>237065</v>
      </c>
      <c r="T28" s="417">
        <f t="shared" si="61"/>
        <v>2062</v>
      </c>
      <c r="U28" s="417">
        <f t="shared" si="61"/>
        <v>12630</v>
      </c>
      <c r="V28" s="417">
        <f t="shared" si="62"/>
        <v>1441</v>
      </c>
      <c r="W28" s="417">
        <f t="shared" si="62"/>
        <v>59</v>
      </c>
      <c r="X28" s="417">
        <f t="shared" si="62"/>
        <v>6064</v>
      </c>
      <c r="Y28" s="417">
        <f t="shared" si="62"/>
        <v>1972</v>
      </c>
      <c r="Z28" s="417">
        <f t="shared" si="62"/>
        <v>84164</v>
      </c>
      <c r="AA28" s="417">
        <f t="shared" si="62"/>
        <v>3167</v>
      </c>
      <c r="AB28" s="417">
        <f t="shared" si="62"/>
        <v>745</v>
      </c>
      <c r="AC28" s="417">
        <f t="shared" si="62"/>
        <v>1864</v>
      </c>
      <c r="AD28" s="417">
        <f t="shared" si="62"/>
        <v>1446</v>
      </c>
      <c r="AE28" s="417">
        <f t="shared" si="62"/>
        <v>34564</v>
      </c>
      <c r="AF28" s="417">
        <f t="shared" si="63"/>
        <v>6832</v>
      </c>
      <c r="AG28" s="417">
        <f t="shared" si="63"/>
        <v>4314</v>
      </c>
      <c r="AH28" s="417">
        <f t="shared" si="63"/>
        <v>1830</v>
      </c>
      <c r="AI28" s="417">
        <f t="shared" si="63"/>
        <v>2544</v>
      </c>
      <c r="AJ28" s="417">
        <f t="shared" si="63"/>
        <v>2113</v>
      </c>
      <c r="AK28" s="417">
        <f t="shared" si="63"/>
        <v>153119</v>
      </c>
      <c r="AL28" s="417">
        <f t="shared" si="63"/>
        <v>10027</v>
      </c>
      <c r="AM28" s="417">
        <f t="shared" si="63"/>
        <v>515</v>
      </c>
      <c r="AN28" s="417">
        <f t="shared" si="63"/>
        <v>1247</v>
      </c>
      <c r="AO28" s="417">
        <f t="shared" si="63"/>
        <v>27445</v>
      </c>
      <c r="AP28" s="417">
        <f t="shared" si="64"/>
        <v>16539</v>
      </c>
      <c r="AQ28" s="417">
        <f t="shared" si="64"/>
        <v>13053</v>
      </c>
      <c r="AR28" s="417">
        <f t="shared" si="64"/>
        <v>8692</v>
      </c>
      <c r="AS28" s="417">
        <f t="shared" si="64"/>
        <v>58684</v>
      </c>
      <c r="AT28" s="417">
        <f t="shared" si="64"/>
        <v>211700</v>
      </c>
      <c r="AU28" s="417">
        <f t="shared" si="64"/>
        <v>12435</v>
      </c>
      <c r="AV28" s="417">
        <f t="shared" si="64"/>
        <v>748197</v>
      </c>
      <c r="AW28" s="417">
        <f t="shared" si="64"/>
        <v>50179</v>
      </c>
      <c r="AX28" s="417">
        <f t="shared" si="64"/>
        <v>130925</v>
      </c>
      <c r="AY28" s="417">
        <f t="shared" si="64"/>
        <v>498776</v>
      </c>
      <c r="AZ28" s="417">
        <f t="shared" si="65"/>
        <v>3012</v>
      </c>
      <c r="BA28" s="417">
        <f t="shared" si="65"/>
        <v>50464</v>
      </c>
      <c r="BB28" s="417">
        <f t="shared" si="65"/>
        <v>44918</v>
      </c>
      <c r="BC28" s="417">
        <f t="shared" si="65"/>
        <v>2464088</v>
      </c>
      <c r="BD28" s="292"/>
      <c r="BE28" s="408" t="s">
        <v>743</v>
      </c>
      <c r="BF28" s="418">
        <v>130838</v>
      </c>
      <c r="BG28" s="418">
        <v>4154</v>
      </c>
      <c r="BH28" s="418">
        <v>1176</v>
      </c>
      <c r="BI28" s="418">
        <v>364</v>
      </c>
      <c r="BJ28" s="418">
        <v>624</v>
      </c>
      <c r="BK28" s="418">
        <v>1568</v>
      </c>
      <c r="BL28" s="418">
        <v>28871</v>
      </c>
      <c r="BM28" s="418">
        <v>6204</v>
      </c>
      <c r="BN28" s="418">
        <v>214</v>
      </c>
      <c r="BO28" s="418">
        <v>5052</v>
      </c>
      <c r="BP28" s="418">
        <v>8110</v>
      </c>
      <c r="BQ28" s="418">
        <v>10561</v>
      </c>
      <c r="BR28" s="418">
        <v>4794</v>
      </c>
      <c r="BS28" s="418">
        <v>993</v>
      </c>
      <c r="BT28" s="418">
        <v>36368</v>
      </c>
      <c r="BU28" s="418">
        <v>3858</v>
      </c>
      <c r="BV28" s="418">
        <v>4223</v>
      </c>
      <c r="BW28" s="418">
        <v>8996</v>
      </c>
      <c r="BX28" s="418">
        <v>1555</v>
      </c>
      <c r="BY28" s="418">
        <v>7307</v>
      </c>
      <c r="BZ28" s="418">
        <v>1441</v>
      </c>
      <c r="CA28" s="418">
        <v>58</v>
      </c>
      <c r="CB28" s="418">
        <v>5857</v>
      </c>
      <c r="CC28" s="418">
        <v>1905</v>
      </c>
      <c r="CD28" s="418">
        <v>11102</v>
      </c>
      <c r="CE28" s="418">
        <v>1225</v>
      </c>
      <c r="CF28" s="418">
        <v>286</v>
      </c>
      <c r="CG28" s="418">
        <v>591</v>
      </c>
      <c r="CH28" s="418">
        <v>1446</v>
      </c>
      <c r="CI28" s="418">
        <v>31791</v>
      </c>
      <c r="CJ28" s="418">
        <v>6484</v>
      </c>
      <c r="CK28" s="418">
        <v>4314</v>
      </c>
      <c r="CL28" s="418">
        <v>1058</v>
      </c>
      <c r="CM28" s="418">
        <v>2544</v>
      </c>
      <c r="CN28" s="418">
        <v>2035</v>
      </c>
      <c r="CO28" s="418">
        <v>72137</v>
      </c>
      <c r="CP28" s="418">
        <v>9335</v>
      </c>
      <c r="CQ28" s="418">
        <v>515</v>
      </c>
      <c r="CR28" s="418">
        <v>1131</v>
      </c>
      <c r="CS28" s="418">
        <v>27445</v>
      </c>
      <c r="CT28" s="418">
        <v>16539</v>
      </c>
      <c r="CU28" s="418">
        <v>12547</v>
      </c>
      <c r="CV28" s="418">
        <v>8692</v>
      </c>
      <c r="CW28" s="418">
        <v>46423</v>
      </c>
      <c r="CX28" s="418">
        <v>138169</v>
      </c>
      <c r="CY28" s="418">
        <v>11524</v>
      </c>
      <c r="CZ28" s="418">
        <v>530787</v>
      </c>
      <c r="DA28" s="418">
        <v>40258</v>
      </c>
      <c r="DB28" s="418">
        <v>29628</v>
      </c>
      <c r="DC28" s="418">
        <v>126952</v>
      </c>
      <c r="DD28" s="418">
        <v>3012</v>
      </c>
      <c r="DE28" s="418">
        <v>49536</v>
      </c>
      <c r="DF28" s="418">
        <v>40048</v>
      </c>
      <c r="DG28" s="418">
        <v>1299670</v>
      </c>
      <c r="DI28" s="419" t="s">
        <v>743</v>
      </c>
      <c r="DJ28" s="420">
        <v>288751</v>
      </c>
      <c r="DK28" s="420">
        <v>418</v>
      </c>
      <c r="DL28" s="420">
        <v>344</v>
      </c>
      <c r="DM28" s="420">
        <v>25</v>
      </c>
      <c r="DN28" s="420">
        <v>99</v>
      </c>
      <c r="DO28" s="420">
        <v>10</v>
      </c>
      <c r="DP28" s="420">
        <v>15061</v>
      </c>
      <c r="DQ28" s="420">
        <v>1022</v>
      </c>
      <c r="DR28" s="420">
        <v>1256</v>
      </c>
      <c r="DS28" s="420">
        <v>3646</v>
      </c>
      <c r="DT28" s="420">
        <v>5306</v>
      </c>
      <c r="DU28" s="420">
        <v>8545</v>
      </c>
      <c r="DV28" s="420">
        <v>561</v>
      </c>
      <c r="DW28" s="420">
        <v>351</v>
      </c>
      <c r="DX28" s="420">
        <v>16666</v>
      </c>
      <c r="DY28" s="420">
        <v>999</v>
      </c>
      <c r="DZ28" s="420">
        <v>961</v>
      </c>
      <c r="EA28" s="420">
        <v>228069</v>
      </c>
      <c r="EB28" s="420">
        <v>507</v>
      </c>
      <c r="EC28" s="420">
        <v>5323</v>
      </c>
      <c r="ED28" s="420">
        <v>0</v>
      </c>
      <c r="EE28" s="420">
        <v>1</v>
      </c>
      <c r="EF28" s="420">
        <v>207</v>
      </c>
      <c r="EG28" s="420">
        <v>67</v>
      </c>
      <c r="EH28" s="420">
        <v>73062</v>
      </c>
      <c r="EI28" s="420">
        <v>1942</v>
      </c>
      <c r="EJ28" s="420">
        <v>459</v>
      </c>
      <c r="EK28" s="420">
        <v>1273</v>
      </c>
      <c r="EL28" s="420">
        <v>0</v>
      </c>
      <c r="EM28" s="420">
        <v>2773</v>
      </c>
      <c r="EN28" s="420">
        <v>348</v>
      </c>
      <c r="EO28" s="420">
        <v>0</v>
      </c>
      <c r="EP28" s="420">
        <v>772</v>
      </c>
      <c r="EQ28" s="420">
        <v>0</v>
      </c>
      <c r="ER28" s="420">
        <v>78</v>
      </c>
      <c r="ES28" s="420">
        <v>80982</v>
      </c>
      <c r="ET28" s="420">
        <v>692</v>
      </c>
      <c r="EU28" s="420">
        <v>0</v>
      </c>
      <c r="EV28" s="420">
        <v>116</v>
      </c>
      <c r="EW28" s="420">
        <v>0</v>
      </c>
      <c r="EX28" s="420">
        <v>0</v>
      </c>
      <c r="EY28" s="420">
        <v>506</v>
      </c>
      <c r="EZ28" s="420">
        <v>0</v>
      </c>
      <c r="FA28" s="420">
        <v>12261</v>
      </c>
      <c r="FB28" s="420">
        <v>73531</v>
      </c>
      <c r="FC28" s="420">
        <v>911</v>
      </c>
      <c r="FD28" s="420">
        <v>217410</v>
      </c>
      <c r="FE28" s="420">
        <v>9921</v>
      </c>
      <c r="FF28" s="420">
        <v>101297</v>
      </c>
      <c r="FG28" s="420">
        <v>371824</v>
      </c>
      <c r="FH28" s="420">
        <v>0</v>
      </c>
      <c r="FI28" s="420">
        <v>928</v>
      </c>
      <c r="FJ28" s="420">
        <v>4870</v>
      </c>
      <c r="FK28" s="421">
        <v>1164418</v>
      </c>
    </row>
    <row r="29" spans="1:167" x14ac:dyDescent="0.35">
      <c r="A29" s="408" t="s">
        <v>744</v>
      </c>
      <c r="B29" s="417">
        <f t="shared" si="60"/>
        <v>249221</v>
      </c>
      <c r="C29" s="417">
        <f t="shared" si="60"/>
        <v>18561</v>
      </c>
      <c r="D29" s="417">
        <f t="shared" si="60"/>
        <v>2713</v>
      </c>
      <c r="E29" s="417">
        <f t="shared" si="60"/>
        <v>684</v>
      </c>
      <c r="F29" s="417">
        <f t="shared" si="60"/>
        <v>791</v>
      </c>
      <c r="G29" s="417">
        <f t="shared" si="60"/>
        <v>1092</v>
      </c>
      <c r="H29" s="417">
        <f t="shared" si="60"/>
        <v>4724</v>
      </c>
      <c r="I29" s="417">
        <f t="shared" si="60"/>
        <v>2738</v>
      </c>
      <c r="J29" s="417">
        <f t="shared" si="60"/>
        <v>6157</v>
      </c>
      <c r="K29" s="417">
        <f t="shared" si="60"/>
        <v>1594</v>
      </c>
      <c r="L29" s="417">
        <f t="shared" si="61"/>
        <v>4082</v>
      </c>
      <c r="M29" s="417">
        <f t="shared" si="61"/>
        <v>6995</v>
      </c>
      <c r="N29" s="417">
        <f t="shared" si="61"/>
        <v>3351</v>
      </c>
      <c r="O29" s="417">
        <f t="shared" si="61"/>
        <v>220</v>
      </c>
      <c r="P29" s="417">
        <f t="shared" si="61"/>
        <v>73089</v>
      </c>
      <c r="Q29" s="417">
        <f t="shared" si="61"/>
        <v>1430</v>
      </c>
      <c r="R29" s="417">
        <f t="shared" si="61"/>
        <v>4245</v>
      </c>
      <c r="S29" s="417">
        <f t="shared" si="61"/>
        <v>126320</v>
      </c>
      <c r="T29" s="417">
        <f t="shared" si="61"/>
        <v>1151</v>
      </c>
      <c r="U29" s="417">
        <f t="shared" si="61"/>
        <v>7845</v>
      </c>
      <c r="V29" s="417">
        <f t="shared" si="62"/>
        <v>1486</v>
      </c>
      <c r="W29" s="417">
        <f t="shared" si="62"/>
        <v>393</v>
      </c>
      <c r="X29" s="417">
        <f t="shared" si="62"/>
        <v>3940</v>
      </c>
      <c r="Y29" s="417">
        <f t="shared" si="62"/>
        <v>835</v>
      </c>
      <c r="Z29" s="417">
        <f t="shared" si="62"/>
        <v>12904</v>
      </c>
      <c r="AA29" s="417">
        <f t="shared" si="62"/>
        <v>1431</v>
      </c>
      <c r="AB29" s="417">
        <f t="shared" si="62"/>
        <v>477</v>
      </c>
      <c r="AC29" s="417">
        <f t="shared" si="62"/>
        <v>497</v>
      </c>
      <c r="AD29" s="417">
        <f t="shared" si="62"/>
        <v>225</v>
      </c>
      <c r="AE29" s="417">
        <f t="shared" si="62"/>
        <v>16192</v>
      </c>
      <c r="AF29" s="417">
        <f t="shared" si="63"/>
        <v>1344</v>
      </c>
      <c r="AG29" s="417">
        <f t="shared" si="63"/>
        <v>287</v>
      </c>
      <c r="AH29" s="417">
        <f t="shared" si="63"/>
        <v>157</v>
      </c>
      <c r="AI29" s="417">
        <f t="shared" si="63"/>
        <v>215</v>
      </c>
      <c r="AJ29" s="417">
        <f t="shared" si="63"/>
        <v>258</v>
      </c>
      <c r="AK29" s="417">
        <f t="shared" si="63"/>
        <v>40641</v>
      </c>
      <c r="AL29" s="417">
        <f t="shared" si="63"/>
        <v>13127</v>
      </c>
      <c r="AM29" s="417">
        <f t="shared" si="63"/>
        <v>662</v>
      </c>
      <c r="AN29" s="417">
        <f t="shared" si="63"/>
        <v>5788</v>
      </c>
      <c r="AO29" s="417">
        <f t="shared" si="63"/>
        <v>65502</v>
      </c>
      <c r="AP29" s="417">
        <f t="shared" si="64"/>
        <v>49314</v>
      </c>
      <c r="AQ29" s="417">
        <f t="shared" si="64"/>
        <v>13424</v>
      </c>
      <c r="AR29" s="417">
        <f t="shared" si="64"/>
        <v>7</v>
      </c>
      <c r="AS29" s="417">
        <f t="shared" si="64"/>
        <v>131785</v>
      </c>
      <c r="AT29" s="417">
        <f t="shared" si="64"/>
        <v>2117780</v>
      </c>
      <c r="AU29" s="417">
        <f t="shared" si="64"/>
        <v>1905</v>
      </c>
      <c r="AV29" s="417">
        <f t="shared" si="64"/>
        <v>35072</v>
      </c>
      <c r="AW29" s="417">
        <f t="shared" si="64"/>
        <v>8094</v>
      </c>
      <c r="AX29" s="417">
        <f t="shared" si="64"/>
        <v>2160</v>
      </c>
      <c r="AY29" s="417">
        <f t="shared" si="64"/>
        <v>9875</v>
      </c>
      <c r="AZ29" s="417">
        <f t="shared" si="65"/>
        <v>27</v>
      </c>
      <c r="BA29" s="417">
        <f t="shared" si="65"/>
        <v>6183</v>
      </c>
      <c r="BB29" s="417">
        <f t="shared" si="65"/>
        <v>5825</v>
      </c>
      <c r="BC29" s="417">
        <f t="shared" si="65"/>
        <v>2774953</v>
      </c>
      <c r="BD29" s="292"/>
      <c r="BE29" s="408" t="s">
        <v>744</v>
      </c>
      <c r="BF29" s="418">
        <v>76755</v>
      </c>
      <c r="BG29" s="418">
        <v>15557</v>
      </c>
      <c r="BH29" s="418">
        <v>2490</v>
      </c>
      <c r="BI29" s="418">
        <v>447</v>
      </c>
      <c r="BJ29" s="418">
        <v>468</v>
      </c>
      <c r="BK29" s="418">
        <v>716</v>
      </c>
      <c r="BL29" s="418">
        <v>1831</v>
      </c>
      <c r="BM29" s="418">
        <v>1073</v>
      </c>
      <c r="BN29" s="418">
        <v>18</v>
      </c>
      <c r="BO29" s="418">
        <v>418</v>
      </c>
      <c r="BP29" s="418">
        <v>1377</v>
      </c>
      <c r="BQ29" s="418">
        <v>4492</v>
      </c>
      <c r="BR29" s="418">
        <v>2973</v>
      </c>
      <c r="BS29" s="418">
        <v>140</v>
      </c>
      <c r="BT29" s="418">
        <v>48539</v>
      </c>
      <c r="BU29" s="418">
        <v>750</v>
      </c>
      <c r="BV29" s="418">
        <v>1761</v>
      </c>
      <c r="BW29" s="418">
        <v>1671</v>
      </c>
      <c r="BX29" s="418">
        <v>1136</v>
      </c>
      <c r="BY29" s="418">
        <v>6455</v>
      </c>
      <c r="BZ29" s="418">
        <v>1486</v>
      </c>
      <c r="CA29" s="418">
        <v>393</v>
      </c>
      <c r="CB29" s="418">
        <v>3940</v>
      </c>
      <c r="CC29" s="418">
        <v>795</v>
      </c>
      <c r="CD29" s="418">
        <v>4955</v>
      </c>
      <c r="CE29" s="418">
        <v>1411</v>
      </c>
      <c r="CF29" s="418">
        <v>477</v>
      </c>
      <c r="CG29" s="418">
        <v>350</v>
      </c>
      <c r="CH29" s="418">
        <v>225</v>
      </c>
      <c r="CI29" s="418">
        <v>16166</v>
      </c>
      <c r="CJ29" s="418">
        <v>1334</v>
      </c>
      <c r="CK29" s="418">
        <v>287</v>
      </c>
      <c r="CL29" s="418">
        <v>155</v>
      </c>
      <c r="CM29" s="418">
        <v>215</v>
      </c>
      <c r="CN29" s="418">
        <v>256</v>
      </c>
      <c r="CO29" s="418">
        <v>32445</v>
      </c>
      <c r="CP29" s="418">
        <v>13127</v>
      </c>
      <c r="CQ29" s="418">
        <v>662</v>
      </c>
      <c r="CR29" s="418">
        <v>5775</v>
      </c>
      <c r="CS29" s="418">
        <v>65502</v>
      </c>
      <c r="CT29" s="418">
        <v>49314</v>
      </c>
      <c r="CU29" s="418">
        <v>12555</v>
      </c>
      <c r="CV29" s="418">
        <v>7</v>
      </c>
      <c r="CW29" s="418">
        <v>119268</v>
      </c>
      <c r="CX29" s="418">
        <v>1253003</v>
      </c>
      <c r="CY29" s="418">
        <v>1905</v>
      </c>
      <c r="CZ29" s="418">
        <v>33872</v>
      </c>
      <c r="DA29" s="418">
        <v>8094</v>
      </c>
      <c r="DB29" s="418">
        <v>1091</v>
      </c>
      <c r="DC29" s="418">
        <v>9875</v>
      </c>
      <c r="DD29" s="418">
        <v>27</v>
      </c>
      <c r="DE29" s="418">
        <v>6171</v>
      </c>
      <c r="DF29" s="418">
        <v>5051</v>
      </c>
      <c r="DG29" s="418">
        <v>1710056</v>
      </c>
      <c r="DI29" s="419" t="s">
        <v>744</v>
      </c>
      <c r="DJ29" s="420">
        <v>172466</v>
      </c>
      <c r="DK29" s="420">
        <v>3004</v>
      </c>
      <c r="DL29" s="420">
        <v>223</v>
      </c>
      <c r="DM29" s="420">
        <v>237</v>
      </c>
      <c r="DN29" s="420">
        <v>323</v>
      </c>
      <c r="DO29" s="420">
        <v>376</v>
      </c>
      <c r="DP29" s="420">
        <v>2893</v>
      </c>
      <c r="DQ29" s="420">
        <v>1665</v>
      </c>
      <c r="DR29" s="420">
        <v>6139</v>
      </c>
      <c r="DS29" s="420">
        <v>1176</v>
      </c>
      <c r="DT29" s="420">
        <v>2705</v>
      </c>
      <c r="DU29" s="420">
        <v>2503</v>
      </c>
      <c r="DV29" s="420">
        <v>378</v>
      </c>
      <c r="DW29" s="420">
        <v>80</v>
      </c>
      <c r="DX29" s="420">
        <v>24550</v>
      </c>
      <c r="DY29" s="420">
        <v>680</v>
      </c>
      <c r="DZ29" s="420">
        <v>2484</v>
      </c>
      <c r="EA29" s="420">
        <v>124649</v>
      </c>
      <c r="EB29" s="420">
        <v>15</v>
      </c>
      <c r="EC29" s="420">
        <v>1390</v>
      </c>
      <c r="ED29" s="420">
        <v>0</v>
      </c>
      <c r="EE29" s="420">
        <v>0</v>
      </c>
      <c r="EF29" s="420">
        <v>0</v>
      </c>
      <c r="EG29" s="420">
        <v>40</v>
      </c>
      <c r="EH29" s="420">
        <v>7949</v>
      </c>
      <c r="EI29" s="420">
        <v>20</v>
      </c>
      <c r="EJ29" s="420">
        <v>0</v>
      </c>
      <c r="EK29" s="420">
        <v>147</v>
      </c>
      <c r="EL29" s="420">
        <v>0</v>
      </c>
      <c r="EM29" s="420">
        <v>26</v>
      </c>
      <c r="EN29" s="420">
        <v>10</v>
      </c>
      <c r="EO29" s="420">
        <v>0</v>
      </c>
      <c r="EP29" s="420">
        <v>2</v>
      </c>
      <c r="EQ29" s="420">
        <v>0</v>
      </c>
      <c r="ER29" s="420">
        <v>2</v>
      </c>
      <c r="ES29" s="420">
        <v>8196</v>
      </c>
      <c r="ET29" s="420">
        <v>0</v>
      </c>
      <c r="EU29" s="420">
        <v>0</v>
      </c>
      <c r="EV29" s="420">
        <v>13</v>
      </c>
      <c r="EW29" s="420">
        <v>0</v>
      </c>
      <c r="EX29" s="420">
        <v>0</v>
      </c>
      <c r="EY29" s="420">
        <v>869</v>
      </c>
      <c r="EZ29" s="420">
        <v>0</v>
      </c>
      <c r="FA29" s="420">
        <v>12517</v>
      </c>
      <c r="FB29" s="420">
        <v>864777</v>
      </c>
      <c r="FC29" s="420">
        <v>0</v>
      </c>
      <c r="FD29" s="420">
        <v>1200</v>
      </c>
      <c r="FE29" s="420">
        <v>0</v>
      </c>
      <c r="FF29" s="420">
        <v>1069</v>
      </c>
      <c r="FG29" s="420">
        <v>0</v>
      </c>
      <c r="FH29" s="420">
        <v>0</v>
      </c>
      <c r="FI29" s="420">
        <v>12</v>
      </c>
      <c r="FJ29" s="420">
        <v>774</v>
      </c>
      <c r="FK29" s="421">
        <v>1064897</v>
      </c>
    </row>
    <row r="30" spans="1:167" x14ac:dyDescent="0.35">
      <c r="A30" s="408" t="s">
        <v>745</v>
      </c>
      <c r="B30" s="417">
        <f t="shared" si="60"/>
        <v>1534549</v>
      </c>
      <c r="C30" s="417">
        <f t="shared" si="60"/>
        <v>84</v>
      </c>
      <c r="D30" s="417">
        <f t="shared" si="60"/>
        <v>21960</v>
      </c>
      <c r="E30" s="417">
        <f t="shared" si="60"/>
        <v>783</v>
      </c>
      <c r="F30" s="417">
        <f t="shared" si="60"/>
        <v>2323</v>
      </c>
      <c r="G30" s="417">
        <f t="shared" si="60"/>
        <v>81685</v>
      </c>
      <c r="H30" s="417">
        <f t="shared" si="60"/>
        <v>353051</v>
      </c>
      <c r="I30" s="417">
        <f t="shared" si="60"/>
        <v>36217</v>
      </c>
      <c r="J30" s="417">
        <f t="shared" si="60"/>
        <v>7020</v>
      </c>
      <c r="K30" s="417">
        <f t="shared" si="60"/>
        <v>30575</v>
      </c>
      <c r="L30" s="417">
        <f t="shared" si="61"/>
        <v>15752</v>
      </c>
      <c r="M30" s="417">
        <f t="shared" si="61"/>
        <v>186963</v>
      </c>
      <c r="N30" s="417">
        <f t="shared" si="61"/>
        <v>676</v>
      </c>
      <c r="O30" s="417">
        <f t="shared" si="61"/>
        <v>8402</v>
      </c>
      <c r="P30" s="417">
        <f t="shared" si="61"/>
        <v>92444</v>
      </c>
      <c r="Q30" s="417">
        <f t="shared" si="61"/>
        <v>167110</v>
      </c>
      <c r="R30" s="417">
        <f t="shared" si="61"/>
        <v>105358</v>
      </c>
      <c r="S30" s="417">
        <f t="shared" si="61"/>
        <v>348363</v>
      </c>
      <c r="T30" s="417">
        <f t="shared" si="61"/>
        <v>13176</v>
      </c>
      <c r="U30" s="417">
        <f t="shared" si="61"/>
        <v>62691</v>
      </c>
      <c r="V30" s="417">
        <f t="shared" si="62"/>
        <v>272373</v>
      </c>
      <c r="W30" s="417">
        <f t="shared" si="62"/>
        <v>4697</v>
      </c>
      <c r="X30" s="417">
        <f t="shared" si="62"/>
        <v>27545</v>
      </c>
      <c r="Y30" s="417">
        <f t="shared" si="62"/>
        <v>2868</v>
      </c>
      <c r="Z30" s="417">
        <f t="shared" si="62"/>
        <v>5103</v>
      </c>
      <c r="AA30" s="417">
        <f t="shared" si="62"/>
        <v>36082</v>
      </c>
      <c r="AB30" s="417">
        <f t="shared" si="62"/>
        <v>12101</v>
      </c>
      <c r="AC30" s="417">
        <f t="shared" si="62"/>
        <v>1905</v>
      </c>
      <c r="AD30" s="417">
        <f t="shared" si="62"/>
        <v>1091</v>
      </c>
      <c r="AE30" s="417">
        <f t="shared" si="62"/>
        <v>48457</v>
      </c>
      <c r="AF30" s="417">
        <f t="shared" si="63"/>
        <v>1514</v>
      </c>
      <c r="AG30" s="417">
        <f t="shared" si="63"/>
        <v>5993</v>
      </c>
      <c r="AH30" s="417">
        <f t="shared" si="63"/>
        <v>7284</v>
      </c>
      <c r="AI30" s="417">
        <f t="shared" si="63"/>
        <v>5728</v>
      </c>
      <c r="AJ30" s="417">
        <f t="shared" si="63"/>
        <v>2967</v>
      </c>
      <c r="AK30" s="417">
        <f t="shared" si="63"/>
        <v>435708</v>
      </c>
      <c r="AL30" s="417">
        <f t="shared" si="63"/>
        <v>24644</v>
      </c>
      <c r="AM30" s="417">
        <f t="shared" si="63"/>
        <v>83453</v>
      </c>
      <c r="AN30" s="417">
        <f t="shared" si="63"/>
        <v>6581</v>
      </c>
      <c r="AO30" s="417">
        <f t="shared" si="63"/>
        <v>27516</v>
      </c>
      <c r="AP30" s="417">
        <f t="shared" si="64"/>
        <v>2775</v>
      </c>
      <c r="AQ30" s="417">
        <f t="shared" si="64"/>
        <v>8547</v>
      </c>
      <c r="AR30" s="417">
        <f t="shared" si="64"/>
        <v>20383</v>
      </c>
      <c r="AS30" s="417">
        <f t="shared" si="64"/>
        <v>8036</v>
      </c>
      <c r="AT30" s="417">
        <f t="shared" si="64"/>
        <v>27295</v>
      </c>
      <c r="AU30" s="417">
        <f t="shared" si="64"/>
        <v>953</v>
      </c>
      <c r="AV30" s="417">
        <f t="shared" si="64"/>
        <v>12886</v>
      </c>
      <c r="AW30" s="417">
        <f t="shared" si="64"/>
        <v>1</v>
      </c>
      <c r="AX30" s="417">
        <f t="shared" si="64"/>
        <v>970</v>
      </c>
      <c r="AY30" s="417">
        <f t="shared" si="64"/>
        <v>12764</v>
      </c>
      <c r="AZ30" s="417">
        <f t="shared" si="65"/>
        <v>351</v>
      </c>
      <c r="BA30" s="417">
        <f t="shared" si="65"/>
        <v>429</v>
      </c>
      <c r="BB30" s="417">
        <f t="shared" si="65"/>
        <v>122114</v>
      </c>
      <c r="BC30" s="417">
        <f t="shared" si="65"/>
        <v>2330039</v>
      </c>
      <c r="BD30" s="292"/>
      <c r="BE30" s="408" t="s">
        <v>745</v>
      </c>
      <c r="BF30" s="418">
        <v>864758</v>
      </c>
      <c r="BG30" s="418">
        <v>84</v>
      </c>
      <c r="BH30" s="418">
        <v>17897</v>
      </c>
      <c r="BI30" s="418">
        <v>581</v>
      </c>
      <c r="BJ30" s="418">
        <v>2042</v>
      </c>
      <c r="BK30" s="418">
        <v>73917</v>
      </c>
      <c r="BL30" s="418">
        <v>263279</v>
      </c>
      <c r="BM30" s="418">
        <v>22108</v>
      </c>
      <c r="BN30" s="418">
        <v>2132</v>
      </c>
      <c r="BO30" s="418">
        <v>15516</v>
      </c>
      <c r="BP30" s="418">
        <v>9967</v>
      </c>
      <c r="BQ30" s="418">
        <v>138068</v>
      </c>
      <c r="BR30" s="418">
        <v>258</v>
      </c>
      <c r="BS30" s="418">
        <v>5680</v>
      </c>
      <c r="BT30" s="418">
        <v>62784</v>
      </c>
      <c r="BU30" s="418">
        <v>122084</v>
      </c>
      <c r="BV30" s="418">
        <v>74530</v>
      </c>
      <c r="BW30" s="418">
        <v>24607</v>
      </c>
      <c r="BX30" s="418">
        <v>11676</v>
      </c>
      <c r="BY30" s="418">
        <v>17632</v>
      </c>
      <c r="BZ30" s="418">
        <v>272373</v>
      </c>
      <c r="CA30" s="418">
        <v>4697</v>
      </c>
      <c r="CB30" s="418">
        <v>27545</v>
      </c>
      <c r="CC30" s="418">
        <v>2652</v>
      </c>
      <c r="CD30" s="418">
        <v>1204</v>
      </c>
      <c r="CE30" s="418">
        <v>32678</v>
      </c>
      <c r="CF30" s="418">
        <v>11821</v>
      </c>
      <c r="CG30" s="418">
        <v>315</v>
      </c>
      <c r="CH30" s="418">
        <v>1091</v>
      </c>
      <c r="CI30" s="418">
        <v>48439</v>
      </c>
      <c r="CJ30" s="418">
        <v>1514</v>
      </c>
      <c r="CK30" s="418">
        <v>5993</v>
      </c>
      <c r="CL30" s="418">
        <v>7284</v>
      </c>
      <c r="CM30" s="418">
        <v>5728</v>
      </c>
      <c r="CN30" s="418">
        <v>2967</v>
      </c>
      <c r="CO30" s="418">
        <v>426301</v>
      </c>
      <c r="CP30" s="418">
        <v>24644</v>
      </c>
      <c r="CQ30" s="418">
        <v>83335</v>
      </c>
      <c r="CR30" s="418">
        <v>6474</v>
      </c>
      <c r="CS30" s="418">
        <v>27516</v>
      </c>
      <c r="CT30" s="418">
        <v>2775</v>
      </c>
      <c r="CU30" s="418">
        <v>8547</v>
      </c>
      <c r="CV30" s="418">
        <v>19984</v>
      </c>
      <c r="CW30" s="418">
        <v>7509</v>
      </c>
      <c r="CX30" s="418">
        <v>27173</v>
      </c>
      <c r="CY30" s="418">
        <v>943</v>
      </c>
      <c r="CZ30" s="418">
        <v>12886</v>
      </c>
      <c r="DA30" s="418">
        <v>1</v>
      </c>
      <c r="DB30" s="418">
        <v>970</v>
      </c>
      <c r="DC30" s="418">
        <v>12764</v>
      </c>
      <c r="DD30" s="418">
        <v>351</v>
      </c>
      <c r="DE30" s="418">
        <v>429</v>
      </c>
      <c r="DF30" s="418">
        <v>122114</v>
      </c>
      <c r="DG30" s="418">
        <v>1649558</v>
      </c>
      <c r="DI30" s="419" t="s">
        <v>745</v>
      </c>
      <c r="DJ30" s="420">
        <v>669791</v>
      </c>
      <c r="DK30" s="420">
        <v>0</v>
      </c>
      <c r="DL30" s="420">
        <v>4063</v>
      </c>
      <c r="DM30" s="420">
        <v>202</v>
      </c>
      <c r="DN30" s="420">
        <v>281</v>
      </c>
      <c r="DO30" s="420">
        <v>7768</v>
      </c>
      <c r="DP30" s="420">
        <v>89772</v>
      </c>
      <c r="DQ30" s="420">
        <v>14109</v>
      </c>
      <c r="DR30" s="420">
        <v>4888</v>
      </c>
      <c r="DS30" s="420">
        <v>15059</v>
      </c>
      <c r="DT30" s="420">
        <v>5785</v>
      </c>
      <c r="DU30" s="420">
        <v>48895</v>
      </c>
      <c r="DV30" s="420">
        <v>418</v>
      </c>
      <c r="DW30" s="420">
        <v>2722</v>
      </c>
      <c r="DX30" s="420">
        <v>29660</v>
      </c>
      <c r="DY30" s="420">
        <v>45026</v>
      </c>
      <c r="DZ30" s="420">
        <v>30828</v>
      </c>
      <c r="EA30" s="420">
        <v>323756</v>
      </c>
      <c r="EB30" s="420">
        <v>1500</v>
      </c>
      <c r="EC30" s="420">
        <v>45059</v>
      </c>
      <c r="ED30" s="420">
        <v>0</v>
      </c>
      <c r="EE30" s="420">
        <v>0</v>
      </c>
      <c r="EF30" s="420">
        <v>0</v>
      </c>
      <c r="EG30" s="420">
        <v>216</v>
      </c>
      <c r="EH30" s="420">
        <v>3899</v>
      </c>
      <c r="EI30" s="420">
        <v>3404</v>
      </c>
      <c r="EJ30" s="420">
        <v>280</v>
      </c>
      <c r="EK30" s="420">
        <v>1590</v>
      </c>
      <c r="EL30" s="420">
        <v>0</v>
      </c>
      <c r="EM30" s="420">
        <v>18</v>
      </c>
      <c r="EN30" s="420">
        <v>0</v>
      </c>
      <c r="EO30" s="420">
        <v>0</v>
      </c>
      <c r="EP30" s="420">
        <v>0</v>
      </c>
      <c r="EQ30" s="420">
        <v>0</v>
      </c>
      <c r="ER30" s="420">
        <v>0</v>
      </c>
      <c r="ES30" s="420">
        <v>9407</v>
      </c>
      <c r="ET30" s="420">
        <v>0</v>
      </c>
      <c r="EU30" s="420">
        <v>118</v>
      </c>
      <c r="EV30" s="420">
        <v>107</v>
      </c>
      <c r="EW30" s="420">
        <v>0</v>
      </c>
      <c r="EX30" s="420">
        <v>0</v>
      </c>
      <c r="EY30" s="420">
        <v>0</v>
      </c>
      <c r="EZ30" s="420">
        <v>399</v>
      </c>
      <c r="FA30" s="420">
        <v>527</v>
      </c>
      <c r="FB30" s="420">
        <v>122</v>
      </c>
      <c r="FC30" s="420">
        <v>10</v>
      </c>
      <c r="FD30" s="420">
        <v>0</v>
      </c>
      <c r="FE30" s="420">
        <v>0</v>
      </c>
      <c r="FF30" s="420">
        <v>0</v>
      </c>
      <c r="FG30" s="420">
        <v>0</v>
      </c>
      <c r="FH30" s="420">
        <v>0</v>
      </c>
      <c r="FI30" s="420">
        <v>0</v>
      </c>
      <c r="FJ30" s="420">
        <v>0</v>
      </c>
      <c r="FK30" s="421">
        <v>680481</v>
      </c>
    </row>
    <row r="31" spans="1:167" x14ac:dyDescent="0.35">
      <c r="A31" s="408" t="s">
        <v>746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292"/>
      <c r="BE31" s="408" t="s">
        <v>746</v>
      </c>
      <c r="BF31" s="422" t="s">
        <v>723</v>
      </c>
      <c r="BG31" s="422" t="s">
        <v>723</v>
      </c>
      <c r="BH31" s="422" t="s">
        <v>723</v>
      </c>
      <c r="BI31" s="422" t="s">
        <v>723</v>
      </c>
      <c r="BJ31" s="422" t="s">
        <v>723</v>
      </c>
      <c r="BK31" s="422" t="s">
        <v>723</v>
      </c>
      <c r="BL31" s="422" t="s">
        <v>723</v>
      </c>
      <c r="BM31" s="422" t="s">
        <v>723</v>
      </c>
      <c r="BN31" s="422" t="s">
        <v>723</v>
      </c>
      <c r="BO31" s="422" t="s">
        <v>723</v>
      </c>
      <c r="BP31" s="422" t="s">
        <v>723</v>
      </c>
      <c r="BQ31" s="422" t="s">
        <v>723</v>
      </c>
      <c r="BR31" s="422" t="s">
        <v>723</v>
      </c>
      <c r="BS31" s="422" t="s">
        <v>723</v>
      </c>
      <c r="BT31" s="422" t="s">
        <v>723</v>
      </c>
      <c r="BU31" s="422" t="s">
        <v>723</v>
      </c>
      <c r="BV31" s="422" t="s">
        <v>723</v>
      </c>
      <c r="BW31" s="422" t="s">
        <v>723</v>
      </c>
      <c r="BX31" s="422" t="s">
        <v>723</v>
      </c>
      <c r="BY31" s="422" t="s">
        <v>723</v>
      </c>
      <c r="BZ31" s="422" t="s">
        <v>723</v>
      </c>
      <c r="CA31" s="422" t="s">
        <v>723</v>
      </c>
      <c r="CB31" s="422" t="s">
        <v>723</v>
      </c>
      <c r="CC31" s="422" t="s">
        <v>723</v>
      </c>
      <c r="CD31" s="422" t="s">
        <v>723</v>
      </c>
      <c r="CE31" s="422" t="s">
        <v>723</v>
      </c>
      <c r="CF31" s="422" t="s">
        <v>723</v>
      </c>
      <c r="CG31" s="422" t="s">
        <v>723</v>
      </c>
      <c r="CH31" s="422" t="s">
        <v>723</v>
      </c>
      <c r="CI31" s="422" t="s">
        <v>723</v>
      </c>
      <c r="CJ31" s="422" t="s">
        <v>723</v>
      </c>
      <c r="CK31" s="422" t="s">
        <v>723</v>
      </c>
      <c r="CL31" s="422" t="s">
        <v>723</v>
      </c>
      <c r="CM31" s="422" t="s">
        <v>723</v>
      </c>
      <c r="CN31" s="422" t="s">
        <v>723</v>
      </c>
      <c r="CO31" s="422" t="s">
        <v>723</v>
      </c>
      <c r="CP31" s="422" t="s">
        <v>723</v>
      </c>
      <c r="CQ31" s="422" t="s">
        <v>723</v>
      </c>
      <c r="CR31" s="422" t="s">
        <v>723</v>
      </c>
      <c r="CS31" s="422" t="s">
        <v>723</v>
      </c>
      <c r="CT31" s="422" t="s">
        <v>723</v>
      </c>
      <c r="CU31" s="422" t="s">
        <v>723</v>
      </c>
      <c r="CV31" s="422" t="s">
        <v>723</v>
      </c>
      <c r="CW31" s="422" t="s">
        <v>723</v>
      </c>
      <c r="CX31" s="422" t="s">
        <v>723</v>
      </c>
      <c r="CY31" s="422" t="s">
        <v>723</v>
      </c>
      <c r="CZ31" s="422" t="s">
        <v>723</v>
      </c>
      <c r="DA31" s="422" t="s">
        <v>723</v>
      </c>
      <c r="DB31" s="422" t="s">
        <v>723</v>
      </c>
      <c r="DC31" s="422" t="s">
        <v>723</v>
      </c>
      <c r="DD31" s="422" t="s">
        <v>723</v>
      </c>
      <c r="DE31" s="422" t="s">
        <v>723</v>
      </c>
      <c r="DF31" s="422" t="s">
        <v>723</v>
      </c>
      <c r="DG31" s="422" t="s">
        <v>723</v>
      </c>
      <c r="DI31" s="419" t="s">
        <v>746</v>
      </c>
      <c r="DJ31" s="423" t="s">
        <v>723</v>
      </c>
      <c r="DK31" s="423" t="s">
        <v>723</v>
      </c>
      <c r="DL31" s="423" t="s">
        <v>723</v>
      </c>
      <c r="DM31" s="423" t="s">
        <v>723</v>
      </c>
      <c r="DN31" s="423" t="s">
        <v>723</v>
      </c>
      <c r="DO31" s="423" t="s">
        <v>723</v>
      </c>
      <c r="DP31" s="423" t="s">
        <v>723</v>
      </c>
      <c r="DQ31" s="423" t="s">
        <v>723</v>
      </c>
      <c r="DR31" s="423" t="s">
        <v>723</v>
      </c>
      <c r="DS31" s="423" t="s">
        <v>723</v>
      </c>
      <c r="DT31" s="423" t="s">
        <v>723</v>
      </c>
      <c r="DU31" s="423" t="s">
        <v>723</v>
      </c>
      <c r="DV31" s="423" t="s">
        <v>723</v>
      </c>
      <c r="DW31" s="423" t="s">
        <v>723</v>
      </c>
      <c r="DX31" s="423" t="s">
        <v>723</v>
      </c>
      <c r="DY31" s="423" t="s">
        <v>723</v>
      </c>
      <c r="DZ31" s="423" t="s">
        <v>723</v>
      </c>
      <c r="EA31" s="423" t="s">
        <v>723</v>
      </c>
      <c r="EB31" s="423" t="s">
        <v>723</v>
      </c>
      <c r="EC31" s="423" t="s">
        <v>723</v>
      </c>
      <c r="ED31" s="423" t="s">
        <v>723</v>
      </c>
      <c r="EE31" s="423" t="s">
        <v>723</v>
      </c>
      <c r="EF31" s="423" t="s">
        <v>723</v>
      </c>
      <c r="EG31" s="423" t="s">
        <v>723</v>
      </c>
      <c r="EH31" s="423" t="s">
        <v>723</v>
      </c>
      <c r="EI31" s="423" t="s">
        <v>723</v>
      </c>
      <c r="EJ31" s="423" t="s">
        <v>723</v>
      </c>
      <c r="EK31" s="423" t="s">
        <v>723</v>
      </c>
      <c r="EL31" s="423" t="s">
        <v>723</v>
      </c>
      <c r="EM31" s="423" t="s">
        <v>723</v>
      </c>
      <c r="EN31" s="423" t="s">
        <v>723</v>
      </c>
      <c r="EO31" s="423" t="s">
        <v>723</v>
      </c>
      <c r="EP31" s="423" t="s">
        <v>723</v>
      </c>
      <c r="EQ31" s="423" t="s">
        <v>723</v>
      </c>
      <c r="ER31" s="423" t="s">
        <v>723</v>
      </c>
      <c r="ES31" s="423" t="s">
        <v>723</v>
      </c>
      <c r="ET31" s="423" t="s">
        <v>723</v>
      </c>
      <c r="EU31" s="423" t="s">
        <v>723</v>
      </c>
      <c r="EV31" s="423" t="s">
        <v>723</v>
      </c>
      <c r="EW31" s="423" t="s">
        <v>723</v>
      </c>
      <c r="EX31" s="423" t="s">
        <v>723</v>
      </c>
      <c r="EY31" s="423" t="s">
        <v>723</v>
      </c>
      <c r="EZ31" s="423" t="s">
        <v>723</v>
      </c>
      <c r="FA31" s="423" t="s">
        <v>723</v>
      </c>
      <c r="FB31" s="423" t="s">
        <v>723</v>
      </c>
      <c r="FC31" s="423" t="s">
        <v>723</v>
      </c>
      <c r="FD31" s="423" t="s">
        <v>723</v>
      </c>
      <c r="FE31" s="423" t="s">
        <v>723</v>
      </c>
      <c r="FF31" s="423" t="s">
        <v>723</v>
      </c>
      <c r="FG31" s="423" t="s">
        <v>723</v>
      </c>
      <c r="FH31" s="423" t="s">
        <v>723</v>
      </c>
      <c r="FI31" s="423" t="s">
        <v>723</v>
      </c>
      <c r="FJ31" s="423" t="s">
        <v>723</v>
      </c>
      <c r="FK31" s="424" t="s">
        <v>723</v>
      </c>
    </row>
    <row r="32" spans="1:167" x14ac:dyDescent="0.35">
      <c r="A32" s="408" t="s">
        <v>747</v>
      </c>
      <c r="B32" s="417">
        <f t="shared" ref="B32:B45" si="66">BF32+DJ32</f>
        <v>31137</v>
      </c>
      <c r="C32" s="417">
        <f t="shared" ref="C32:C45" si="67">BG32+DK32</f>
        <v>2351</v>
      </c>
      <c r="D32" s="417">
        <f t="shared" ref="D32:D45" si="68">BH32+DL32</f>
        <v>103</v>
      </c>
      <c r="E32" s="417">
        <f t="shared" ref="E32:E45" si="69">BI32+DM32</f>
        <v>97</v>
      </c>
      <c r="F32" s="417">
        <f t="shared" ref="F32:F45" si="70">BJ32+DN32</f>
        <v>248</v>
      </c>
      <c r="G32" s="417">
        <f t="shared" ref="G32:G45" si="71">BK32+DO32</f>
        <v>1221</v>
      </c>
      <c r="H32" s="417">
        <f t="shared" ref="H32:H45" si="72">BL32+DP32</f>
        <v>3136</v>
      </c>
      <c r="I32" s="417">
        <f t="shared" ref="I32:I45" si="73">BM32+DQ32</f>
        <v>839</v>
      </c>
      <c r="J32" s="417">
        <f t="shared" ref="J32:J45" si="74">BN32+DR32</f>
        <v>7</v>
      </c>
      <c r="K32" s="417">
        <f t="shared" ref="K32:K45" si="75">BO32+DS32</f>
        <v>607</v>
      </c>
      <c r="L32" s="417">
        <f t="shared" ref="L32:L45" si="76">BP32+DT32</f>
        <v>1531</v>
      </c>
      <c r="M32" s="417">
        <f t="shared" ref="M32:M45" si="77">BQ32+DU32</f>
        <v>1136</v>
      </c>
      <c r="N32" s="417">
        <f t="shared" ref="N32:N45" si="78">BR32+DV32</f>
        <v>16544</v>
      </c>
      <c r="O32" s="417">
        <f t="shared" ref="O32:O45" si="79">BS32+DW32</f>
        <v>161</v>
      </c>
      <c r="P32" s="417">
        <f t="shared" ref="P32:P45" si="80">BT32+DX32</f>
        <v>963</v>
      </c>
      <c r="Q32" s="417">
        <f t="shared" ref="Q32:Q45" si="81">BU32+DY32</f>
        <v>211</v>
      </c>
      <c r="R32" s="417">
        <f t="shared" ref="R32:R45" si="82">BV32+DZ32</f>
        <v>400</v>
      </c>
      <c r="S32" s="417">
        <f t="shared" ref="S32:S45" si="83">BW32+EA32</f>
        <v>324</v>
      </c>
      <c r="T32" s="417">
        <f t="shared" ref="T32:T45" si="84">BX32+EB32</f>
        <v>63</v>
      </c>
      <c r="U32" s="417">
        <f t="shared" ref="U32:U45" si="85">BY32+EC32</f>
        <v>3546</v>
      </c>
      <c r="V32" s="417">
        <f t="shared" ref="V32:V45" si="86">BZ32+ED32</f>
        <v>6097</v>
      </c>
      <c r="W32" s="417">
        <f t="shared" ref="W32:W45" si="87">CA32+EE32</f>
        <v>163</v>
      </c>
      <c r="X32" s="417">
        <f t="shared" ref="X32:X45" si="88">CB32+EF32</f>
        <v>3306</v>
      </c>
      <c r="Y32" s="417">
        <f t="shared" ref="Y32:Y45" si="89">CC32+EG32</f>
        <v>41</v>
      </c>
      <c r="Z32" s="417">
        <f t="shared" ref="Z32:Z45" si="90">CD32+EH32</f>
        <v>297</v>
      </c>
      <c r="AA32" s="417">
        <f t="shared" ref="AA32:AA45" si="91">CE32+EI32</f>
        <v>183</v>
      </c>
      <c r="AB32" s="417">
        <f t="shared" ref="AB32:AB45" si="92">CF32+EJ32</f>
        <v>41</v>
      </c>
      <c r="AC32" s="417">
        <f t="shared" ref="AC32:AC45" si="93">CG32+EK32</f>
        <v>4</v>
      </c>
      <c r="AD32" s="417">
        <f t="shared" ref="AD32:AD45" si="94">CH32+EL32</f>
        <v>2579</v>
      </c>
      <c r="AE32" s="417">
        <f t="shared" ref="AE32:AE45" si="95">CI32+EM32</f>
        <v>2484</v>
      </c>
      <c r="AF32" s="417">
        <f t="shared" ref="AF32:AF45" si="96">CJ32+EN32</f>
        <v>4300</v>
      </c>
      <c r="AG32" s="417">
        <f t="shared" ref="AG32:AG45" si="97">CK32+EO32</f>
        <v>1601</v>
      </c>
      <c r="AH32" s="417">
        <f t="shared" ref="AH32:AH45" si="98">CL32+EP32</f>
        <v>75</v>
      </c>
      <c r="AI32" s="417">
        <f t="shared" ref="AI32:AI45" si="99">CM32+EQ32</f>
        <v>21</v>
      </c>
      <c r="AJ32" s="417">
        <f t="shared" ref="AJ32:AJ45" si="100">CN32+ER32</f>
        <v>931</v>
      </c>
      <c r="AK32" s="417">
        <f t="shared" ref="AK32:AK45" si="101">CO32+ES32</f>
        <v>22123</v>
      </c>
      <c r="AL32" s="417">
        <f t="shared" ref="AL32:AL45" si="102">CP32+ET32</f>
        <v>487</v>
      </c>
      <c r="AM32" s="417">
        <f t="shared" ref="AM32:AM45" si="103">CQ32+EU32</f>
        <v>215</v>
      </c>
      <c r="AN32" s="417">
        <f t="shared" ref="AN32:AN45" si="104">CR32+EV32</f>
        <v>268</v>
      </c>
      <c r="AO32" s="417">
        <f t="shared" ref="AO32:AO45" si="105">CS32+EW32</f>
        <v>494</v>
      </c>
      <c r="AP32" s="417">
        <f t="shared" ref="AP32:AP45" si="106">CT32+EX32</f>
        <v>3723</v>
      </c>
      <c r="AQ32" s="417">
        <f t="shared" ref="AQ32:AQ45" si="107">CU32+EY32</f>
        <v>19</v>
      </c>
      <c r="AR32" s="417">
        <f t="shared" ref="AR32:AR45" si="108">CV32+EZ32</f>
        <v>4</v>
      </c>
      <c r="AS32" s="417">
        <f t="shared" ref="AS32:AS45" si="109">CW32+FA32</f>
        <v>3469</v>
      </c>
      <c r="AT32" s="417">
        <f t="shared" ref="AT32:AT45" si="110">CX32+FB32</f>
        <v>9124</v>
      </c>
      <c r="AU32" s="417">
        <f t="shared" ref="AU32:AU45" si="111">CY32+FC32</f>
        <v>14922</v>
      </c>
      <c r="AV32" s="417">
        <f t="shared" ref="AV32:AV45" si="112">CZ32+FD32</f>
        <v>173</v>
      </c>
      <c r="AW32" s="417">
        <f t="shared" ref="AW32:AW45" si="113">DA32+FE32</f>
        <v>0</v>
      </c>
      <c r="AX32" s="417">
        <f t="shared" ref="AX32:AX45" si="114">DB32+FF32</f>
        <v>112</v>
      </c>
      <c r="AY32" s="417">
        <f t="shared" ref="AY32:AY45" si="115">DC32+FG32</f>
        <v>65</v>
      </c>
      <c r="AZ32" s="417">
        <f t="shared" ref="AZ32:AZ45" si="116">DD32+FH32</f>
        <v>2</v>
      </c>
      <c r="BA32" s="417">
        <f t="shared" ref="BA32:BA45" si="117">DE32+FI32</f>
        <v>146</v>
      </c>
      <c r="BB32" s="417">
        <f t="shared" ref="BB32:BB45" si="118">DF32+FJ32</f>
        <v>1845</v>
      </c>
      <c r="BC32" s="417">
        <f t="shared" ref="BC32:BC45" si="119">DG32+FK32</f>
        <v>90679</v>
      </c>
      <c r="BD32" s="292"/>
      <c r="BE32" s="408" t="s">
        <v>747</v>
      </c>
      <c r="BF32" s="418">
        <v>28312</v>
      </c>
      <c r="BG32" s="418">
        <v>2351</v>
      </c>
      <c r="BH32" s="418">
        <v>103</v>
      </c>
      <c r="BI32" s="418">
        <v>92</v>
      </c>
      <c r="BJ32" s="418">
        <v>233</v>
      </c>
      <c r="BK32" s="418">
        <v>1214</v>
      </c>
      <c r="BL32" s="418">
        <v>2998</v>
      </c>
      <c r="BM32" s="418">
        <v>791</v>
      </c>
      <c r="BN32" s="418">
        <v>5</v>
      </c>
      <c r="BO32" s="418">
        <v>515</v>
      </c>
      <c r="BP32" s="418">
        <v>1241</v>
      </c>
      <c r="BQ32" s="418">
        <v>1032</v>
      </c>
      <c r="BR32" s="418">
        <v>15567</v>
      </c>
      <c r="BS32" s="418">
        <v>123</v>
      </c>
      <c r="BT32" s="418">
        <v>888</v>
      </c>
      <c r="BU32" s="418">
        <v>206</v>
      </c>
      <c r="BV32" s="418">
        <v>392</v>
      </c>
      <c r="BW32" s="418">
        <v>67</v>
      </c>
      <c r="BX32" s="418">
        <v>57</v>
      </c>
      <c r="BY32" s="418">
        <v>2788</v>
      </c>
      <c r="BZ32" s="418">
        <v>6097</v>
      </c>
      <c r="CA32" s="418">
        <v>163</v>
      </c>
      <c r="CB32" s="418">
        <v>3305</v>
      </c>
      <c r="CC32" s="418">
        <v>38</v>
      </c>
      <c r="CD32" s="418">
        <v>190</v>
      </c>
      <c r="CE32" s="418">
        <v>181</v>
      </c>
      <c r="CF32" s="418">
        <v>41</v>
      </c>
      <c r="CG32" s="418">
        <v>4</v>
      </c>
      <c r="CH32" s="418">
        <v>2579</v>
      </c>
      <c r="CI32" s="418">
        <v>2484</v>
      </c>
      <c r="CJ32" s="418">
        <v>3894</v>
      </c>
      <c r="CK32" s="418">
        <v>1601</v>
      </c>
      <c r="CL32" s="418">
        <v>75</v>
      </c>
      <c r="CM32" s="418">
        <v>21</v>
      </c>
      <c r="CN32" s="418">
        <v>931</v>
      </c>
      <c r="CO32" s="418">
        <v>21604</v>
      </c>
      <c r="CP32" s="418">
        <v>487</v>
      </c>
      <c r="CQ32" s="418">
        <v>215</v>
      </c>
      <c r="CR32" s="418">
        <v>268</v>
      </c>
      <c r="CS32" s="418">
        <v>494</v>
      </c>
      <c r="CT32" s="418">
        <v>3723</v>
      </c>
      <c r="CU32" s="418">
        <v>19</v>
      </c>
      <c r="CV32" s="418">
        <v>4</v>
      </c>
      <c r="CW32" s="418">
        <v>3433</v>
      </c>
      <c r="CX32" s="418">
        <v>8806</v>
      </c>
      <c r="CY32" s="418">
        <v>14900</v>
      </c>
      <c r="CZ32" s="418">
        <v>173</v>
      </c>
      <c r="DA32" s="418">
        <v>0</v>
      </c>
      <c r="DB32" s="418">
        <v>36</v>
      </c>
      <c r="DC32" s="418">
        <v>65</v>
      </c>
      <c r="DD32" s="418">
        <v>2</v>
      </c>
      <c r="DE32" s="418">
        <v>146</v>
      </c>
      <c r="DF32" s="418">
        <v>1845</v>
      </c>
      <c r="DG32" s="418">
        <v>86883</v>
      </c>
      <c r="DI32" s="419" t="s">
        <v>747</v>
      </c>
      <c r="DJ32" s="420">
        <v>2825</v>
      </c>
      <c r="DK32" s="420">
        <v>0</v>
      </c>
      <c r="DL32" s="420">
        <v>0</v>
      </c>
      <c r="DM32" s="420">
        <v>5</v>
      </c>
      <c r="DN32" s="420">
        <v>15</v>
      </c>
      <c r="DO32" s="420">
        <v>7</v>
      </c>
      <c r="DP32" s="420">
        <v>138</v>
      </c>
      <c r="DQ32" s="420">
        <v>48</v>
      </c>
      <c r="DR32" s="420">
        <v>2</v>
      </c>
      <c r="DS32" s="420">
        <v>92</v>
      </c>
      <c r="DT32" s="420">
        <v>290</v>
      </c>
      <c r="DU32" s="420">
        <v>104</v>
      </c>
      <c r="DV32" s="420">
        <v>977</v>
      </c>
      <c r="DW32" s="420">
        <v>38</v>
      </c>
      <c r="DX32" s="420">
        <v>75</v>
      </c>
      <c r="DY32" s="420">
        <v>5</v>
      </c>
      <c r="DZ32" s="420">
        <v>8</v>
      </c>
      <c r="EA32" s="420">
        <v>257</v>
      </c>
      <c r="EB32" s="420">
        <v>6</v>
      </c>
      <c r="EC32" s="420">
        <v>758</v>
      </c>
      <c r="ED32" s="420">
        <v>0</v>
      </c>
      <c r="EE32" s="420">
        <v>0</v>
      </c>
      <c r="EF32" s="420">
        <v>1</v>
      </c>
      <c r="EG32" s="420">
        <v>3</v>
      </c>
      <c r="EH32" s="420">
        <v>107</v>
      </c>
      <c r="EI32" s="420">
        <v>2</v>
      </c>
      <c r="EJ32" s="420">
        <v>0</v>
      </c>
      <c r="EK32" s="420">
        <v>0</v>
      </c>
      <c r="EL32" s="420">
        <v>0</v>
      </c>
      <c r="EM32" s="420">
        <v>0</v>
      </c>
      <c r="EN32" s="420">
        <v>406</v>
      </c>
      <c r="EO32" s="420">
        <v>0</v>
      </c>
      <c r="EP32" s="420">
        <v>0</v>
      </c>
      <c r="EQ32" s="420">
        <v>0</v>
      </c>
      <c r="ER32" s="420">
        <v>0</v>
      </c>
      <c r="ES32" s="420">
        <v>519</v>
      </c>
      <c r="ET32" s="420">
        <v>0</v>
      </c>
      <c r="EU32" s="420">
        <v>0</v>
      </c>
      <c r="EV32" s="420">
        <v>0</v>
      </c>
      <c r="EW32" s="420">
        <v>0</v>
      </c>
      <c r="EX32" s="420">
        <v>0</v>
      </c>
      <c r="EY32" s="420">
        <v>0</v>
      </c>
      <c r="EZ32" s="420">
        <v>0</v>
      </c>
      <c r="FA32" s="420">
        <v>36</v>
      </c>
      <c r="FB32" s="420">
        <v>318</v>
      </c>
      <c r="FC32" s="420">
        <v>22</v>
      </c>
      <c r="FD32" s="420">
        <v>0</v>
      </c>
      <c r="FE32" s="420">
        <v>0</v>
      </c>
      <c r="FF32" s="420">
        <v>76</v>
      </c>
      <c r="FG32" s="420">
        <v>0</v>
      </c>
      <c r="FH32" s="420">
        <v>0</v>
      </c>
      <c r="FI32" s="420">
        <v>0</v>
      </c>
      <c r="FJ32" s="420">
        <v>0</v>
      </c>
      <c r="FK32" s="421">
        <v>3796</v>
      </c>
    </row>
    <row r="33" spans="1:167" x14ac:dyDescent="0.35">
      <c r="A33" s="408" t="s">
        <v>748</v>
      </c>
      <c r="B33" s="417">
        <f t="shared" si="66"/>
        <v>161598</v>
      </c>
      <c r="C33" s="417">
        <f t="shared" si="67"/>
        <v>21577</v>
      </c>
      <c r="D33" s="417">
        <f t="shared" si="68"/>
        <v>2364</v>
      </c>
      <c r="E33" s="417">
        <f t="shared" si="69"/>
        <v>1026</v>
      </c>
      <c r="F33" s="417">
        <f t="shared" si="70"/>
        <v>6568</v>
      </c>
      <c r="G33" s="417">
        <f t="shared" si="71"/>
        <v>102</v>
      </c>
      <c r="H33" s="417">
        <f t="shared" si="72"/>
        <v>706</v>
      </c>
      <c r="I33" s="417">
        <f t="shared" si="73"/>
        <v>3787</v>
      </c>
      <c r="J33" s="417">
        <f t="shared" si="74"/>
        <v>145</v>
      </c>
      <c r="K33" s="417">
        <f t="shared" si="75"/>
        <v>287</v>
      </c>
      <c r="L33" s="417">
        <f t="shared" si="76"/>
        <v>1183</v>
      </c>
      <c r="M33" s="417">
        <f t="shared" si="77"/>
        <v>8463</v>
      </c>
      <c r="N33" s="417">
        <f t="shared" si="78"/>
        <v>23863</v>
      </c>
      <c r="O33" s="417">
        <f t="shared" si="79"/>
        <v>10</v>
      </c>
      <c r="P33" s="417">
        <f t="shared" si="80"/>
        <v>10852</v>
      </c>
      <c r="Q33" s="417">
        <f t="shared" si="81"/>
        <v>748</v>
      </c>
      <c r="R33" s="417">
        <f t="shared" si="82"/>
        <v>687</v>
      </c>
      <c r="S33" s="417">
        <f t="shared" si="83"/>
        <v>11765</v>
      </c>
      <c r="T33" s="417">
        <f t="shared" si="84"/>
        <v>1095</v>
      </c>
      <c r="U33" s="417">
        <f t="shared" si="85"/>
        <v>87947</v>
      </c>
      <c r="V33" s="417">
        <f t="shared" si="86"/>
        <v>6922</v>
      </c>
      <c r="W33" s="417">
        <f t="shared" si="87"/>
        <v>1156</v>
      </c>
      <c r="X33" s="417">
        <f t="shared" si="88"/>
        <v>64767</v>
      </c>
      <c r="Y33" s="417">
        <f t="shared" si="89"/>
        <v>5763</v>
      </c>
      <c r="Z33" s="417">
        <f t="shared" si="90"/>
        <v>40534</v>
      </c>
      <c r="AA33" s="417">
        <f t="shared" si="91"/>
        <v>4313</v>
      </c>
      <c r="AB33" s="417">
        <f t="shared" si="92"/>
        <v>1706</v>
      </c>
      <c r="AC33" s="417">
        <f t="shared" si="93"/>
        <v>3782</v>
      </c>
      <c r="AD33" s="417">
        <f t="shared" si="94"/>
        <v>6604</v>
      </c>
      <c r="AE33" s="417">
        <f t="shared" si="95"/>
        <v>3118</v>
      </c>
      <c r="AF33" s="417">
        <f t="shared" si="96"/>
        <v>24026</v>
      </c>
      <c r="AG33" s="417">
        <f t="shared" si="97"/>
        <v>1347</v>
      </c>
      <c r="AH33" s="417">
        <f t="shared" si="98"/>
        <v>1983</v>
      </c>
      <c r="AI33" s="417">
        <f t="shared" si="99"/>
        <v>638</v>
      </c>
      <c r="AJ33" s="417">
        <f t="shared" si="100"/>
        <v>3796</v>
      </c>
      <c r="AK33" s="417">
        <f t="shared" si="101"/>
        <v>170455</v>
      </c>
      <c r="AL33" s="417">
        <f t="shared" si="102"/>
        <v>7834</v>
      </c>
      <c r="AM33" s="417">
        <f t="shared" si="103"/>
        <v>87</v>
      </c>
      <c r="AN33" s="417">
        <f t="shared" si="104"/>
        <v>3727</v>
      </c>
      <c r="AO33" s="417">
        <f t="shared" si="105"/>
        <v>1349</v>
      </c>
      <c r="AP33" s="417">
        <f t="shared" si="106"/>
        <v>378</v>
      </c>
      <c r="AQ33" s="417">
        <f t="shared" si="107"/>
        <v>2944</v>
      </c>
      <c r="AR33" s="417">
        <f t="shared" si="108"/>
        <v>30</v>
      </c>
      <c r="AS33" s="417">
        <f t="shared" si="109"/>
        <v>918</v>
      </c>
      <c r="AT33" s="417">
        <f t="shared" si="110"/>
        <v>9541</v>
      </c>
      <c r="AU33" s="417">
        <f t="shared" si="111"/>
        <v>15107</v>
      </c>
      <c r="AV33" s="417">
        <f t="shared" si="112"/>
        <v>483</v>
      </c>
      <c r="AW33" s="417">
        <f t="shared" si="113"/>
        <v>0</v>
      </c>
      <c r="AX33" s="417">
        <f t="shared" si="114"/>
        <v>732</v>
      </c>
      <c r="AY33" s="417">
        <f t="shared" si="115"/>
        <v>25694</v>
      </c>
      <c r="AZ33" s="417">
        <f t="shared" si="116"/>
        <v>19</v>
      </c>
      <c r="BA33" s="417">
        <f t="shared" si="117"/>
        <v>331</v>
      </c>
      <c r="BB33" s="417">
        <f t="shared" si="118"/>
        <v>16136</v>
      </c>
      <c r="BC33" s="417">
        <f t="shared" si="119"/>
        <v>438940</v>
      </c>
      <c r="BD33" s="292"/>
      <c r="BE33" s="408" t="s">
        <v>748</v>
      </c>
      <c r="BF33" s="418">
        <v>82286</v>
      </c>
      <c r="BG33" s="418">
        <v>15635</v>
      </c>
      <c r="BH33" s="418">
        <v>1754</v>
      </c>
      <c r="BI33" s="418">
        <v>1022</v>
      </c>
      <c r="BJ33" s="418">
        <v>4904</v>
      </c>
      <c r="BK33" s="418">
        <v>75</v>
      </c>
      <c r="BL33" s="418">
        <v>535</v>
      </c>
      <c r="BM33" s="418">
        <v>2902</v>
      </c>
      <c r="BN33" s="418">
        <v>20</v>
      </c>
      <c r="BO33" s="418">
        <v>223</v>
      </c>
      <c r="BP33" s="418">
        <v>582</v>
      </c>
      <c r="BQ33" s="418">
        <v>8013</v>
      </c>
      <c r="BR33" s="418">
        <v>20454</v>
      </c>
      <c r="BS33" s="418">
        <v>8</v>
      </c>
      <c r="BT33" s="418">
        <v>7969</v>
      </c>
      <c r="BU33" s="418">
        <v>703</v>
      </c>
      <c r="BV33" s="418">
        <v>629</v>
      </c>
      <c r="BW33" s="418">
        <v>1564</v>
      </c>
      <c r="BX33" s="418">
        <v>773</v>
      </c>
      <c r="BY33" s="418">
        <v>30156</v>
      </c>
      <c r="BZ33" s="418">
        <v>6922</v>
      </c>
      <c r="CA33" s="418">
        <v>1156</v>
      </c>
      <c r="CB33" s="418">
        <v>64702</v>
      </c>
      <c r="CC33" s="418">
        <v>5325</v>
      </c>
      <c r="CD33" s="418">
        <v>8416</v>
      </c>
      <c r="CE33" s="418">
        <v>2475</v>
      </c>
      <c r="CF33" s="418">
        <v>506</v>
      </c>
      <c r="CG33" s="418">
        <v>529</v>
      </c>
      <c r="CH33" s="418">
        <v>6604</v>
      </c>
      <c r="CI33" s="418">
        <v>2859</v>
      </c>
      <c r="CJ33" s="418">
        <v>23374</v>
      </c>
      <c r="CK33" s="418">
        <v>1347</v>
      </c>
      <c r="CL33" s="418">
        <v>849</v>
      </c>
      <c r="CM33" s="418">
        <v>638</v>
      </c>
      <c r="CN33" s="418">
        <v>3657</v>
      </c>
      <c r="CO33" s="418">
        <v>129359</v>
      </c>
      <c r="CP33" s="418">
        <v>1290</v>
      </c>
      <c r="CQ33" s="418">
        <v>87</v>
      </c>
      <c r="CR33" s="418">
        <v>3726</v>
      </c>
      <c r="CS33" s="418">
        <v>1349</v>
      </c>
      <c r="CT33" s="418">
        <v>378</v>
      </c>
      <c r="CU33" s="418">
        <v>2719</v>
      </c>
      <c r="CV33" s="418">
        <v>9</v>
      </c>
      <c r="CW33" s="418">
        <v>482</v>
      </c>
      <c r="CX33" s="418">
        <v>5433</v>
      </c>
      <c r="CY33" s="418">
        <v>13246</v>
      </c>
      <c r="CZ33" s="418">
        <v>98</v>
      </c>
      <c r="DA33" s="418">
        <v>0</v>
      </c>
      <c r="DB33" s="418">
        <v>5</v>
      </c>
      <c r="DC33" s="418">
        <v>20171</v>
      </c>
      <c r="DD33" s="418">
        <v>19</v>
      </c>
      <c r="DE33" s="418">
        <v>17</v>
      </c>
      <c r="DF33" s="418">
        <v>2132</v>
      </c>
      <c r="DG33" s="418">
        <v>278441</v>
      </c>
      <c r="DI33" s="419" t="s">
        <v>748</v>
      </c>
      <c r="DJ33" s="420">
        <v>79312</v>
      </c>
      <c r="DK33" s="420">
        <v>5942</v>
      </c>
      <c r="DL33" s="420">
        <v>610</v>
      </c>
      <c r="DM33" s="420">
        <v>4</v>
      </c>
      <c r="DN33" s="420">
        <v>1664</v>
      </c>
      <c r="DO33" s="420">
        <v>27</v>
      </c>
      <c r="DP33" s="420">
        <v>171</v>
      </c>
      <c r="DQ33" s="420">
        <v>885</v>
      </c>
      <c r="DR33" s="420">
        <v>125</v>
      </c>
      <c r="DS33" s="420">
        <v>64</v>
      </c>
      <c r="DT33" s="420">
        <v>601</v>
      </c>
      <c r="DU33" s="420">
        <v>450</v>
      </c>
      <c r="DV33" s="420">
        <v>3409</v>
      </c>
      <c r="DW33" s="420">
        <v>2</v>
      </c>
      <c r="DX33" s="420">
        <v>2883</v>
      </c>
      <c r="DY33" s="420">
        <v>45</v>
      </c>
      <c r="DZ33" s="420">
        <v>58</v>
      </c>
      <c r="EA33" s="420">
        <v>10201</v>
      </c>
      <c r="EB33" s="420">
        <v>322</v>
      </c>
      <c r="EC33" s="420">
        <v>57791</v>
      </c>
      <c r="ED33" s="420">
        <v>0</v>
      </c>
      <c r="EE33" s="420">
        <v>0</v>
      </c>
      <c r="EF33" s="420">
        <v>65</v>
      </c>
      <c r="EG33" s="420">
        <v>438</v>
      </c>
      <c r="EH33" s="420">
        <v>32118</v>
      </c>
      <c r="EI33" s="420">
        <v>1838</v>
      </c>
      <c r="EJ33" s="420">
        <v>1200</v>
      </c>
      <c r="EK33" s="420">
        <v>3253</v>
      </c>
      <c r="EL33" s="420">
        <v>0</v>
      </c>
      <c r="EM33" s="420">
        <v>259</v>
      </c>
      <c r="EN33" s="420">
        <v>652</v>
      </c>
      <c r="EO33" s="420">
        <v>0</v>
      </c>
      <c r="EP33" s="420">
        <v>1134</v>
      </c>
      <c r="EQ33" s="420">
        <v>0</v>
      </c>
      <c r="ER33" s="420">
        <v>139</v>
      </c>
      <c r="ES33" s="420">
        <v>41096</v>
      </c>
      <c r="ET33" s="420">
        <v>6544</v>
      </c>
      <c r="EU33" s="420">
        <v>0</v>
      </c>
      <c r="EV33" s="420">
        <v>1</v>
      </c>
      <c r="EW33" s="420">
        <v>0</v>
      </c>
      <c r="EX33" s="420">
        <v>0</v>
      </c>
      <c r="EY33" s="420">
        <v>225</v>
      </c>
      <c r="EZ33" s="420">
        <v>21</v>
      </c>
      <c r="FA33" s="420">
        <v>436</v>
      </c>
      <c r="FB33" s="420">
        <v>4108</v>
      </c>
      <c r="FC33" s="420">
        <v>1861</v>
      </c>
      <c r="FD33" s="420">
        <v>385</v>
      </c>
      <c r="FE33" s="420">
        <v>0</v>
      </c>
      <c r="FF33" s="420">
        <v>727</v>
      </c>
      <c r="FG33" s="420">
        <v>5523</v>
      </c>
      <c r="FH33" s="420">
        <v>0</v>
      </c>
      <c r="FI33" s="420">
        <v>314</v>
      </c>
      <c r="FJ33" s="420">
        <v>14004</v>
      </c>
      <c r="FK33" s="421">
        <v>160499</v>
      </c>
    </row>
    <row r="34" spans="1:167" x14ac:dyDescent="0.35">
      <c r="A34" s="408" t="s">
        <v>749</v>
      </c>
      <c r="B34" s="417">
        <f t="shared" si="66"/>
        <v>1730</v>
      </c>
      <c r="C34" s="417">
        <f t="shared" si="67"/>
        <v>392</v>
      </c>
      <c r="D34" s="417">
        <f t="shared" si="68"/>
        <v>7</v>
      </c>
      <c r="E34" s="417">
        <f t="shared" si="69"/>
        <v>7</v>
      </c>
      <c r="F34" s="417">
        <f t="shared" si="70"/>
        <v>60</v>
      </c>
      <c r="G34" s="417">
        <f t="shared" si="71"/>
        <v>17</v>
      </c>
      <c r="H34" s="417">
        <f t="shared" si="72"/>
        <v>44</v>
      </c>
      <c r="I34" s="417">
        <f t="shared" si="73"/>
        <v>28</v>
      </c>
      <c r="J34" s="417">
        <f t="shared" si="74"/>
        <v>2</v>
      </c>
      <c r="K34" s="417">
        <f t="shared" si="75"/>
        <v>30</v>
      </c>
      <c r="L34" s="417">
        <f t="shared" si="76"/>
        <v>22</v>
      </c>
      <c r="M34" s="417">
        <f t="shared" si="77"/>
        <v>73</v>
      </c>
      <c r="N34" s="417">
        <f t="shared" si="78"/>
        <v>168</v>
      </c>
      <c r="O34" s="417">
        <f t="shared" si="79"/>
        <v>6</v>
      </c>
      <c r="P34" s="417">
        <f t="shared" si="80"/>
        <v>294</v>
      </c>
      <c r="Q34" s="417">
        <f t="shared" si="81"/>
        <v>20</v>
      </c>
      <c r="R34" s="417">
        <f t="shared" si="82"/>
        <v>9</v>
      </c>
      <c r="S34" s="417">
        <f t="shared" si="83"/>
        <v>350</v>
      </c>
      <c r="T34" s="417">
        <f t="shared" si="84"/>
        <v>0</v>
      </c>
      <c r="U34" s="417">
        <f t="shared" si="85"/>
        <v>593</v>
      </c>
      <c r="V34" s="417">
        <f t="shared" si="86"/>
        <v>56</v>
      </c>
      <c r="W34" s="417">
        <f t="shared" si="87"/>
        <v>0</v>
      </c>
      <c r="X34" s="417">
        <f t="shared" si="88"/>
        <v>294</v>
      </c>
      <c r="Y34" s="417">
        <f t="shared" si="89"/>
        <v>1059</v>
      </c>
      <c r="Z34" s="417">
        <f t="shared" si="90"/>
        <v>2157</v>
      </c>
      <c r="AA34" s="417">
        <f t="shared" si="91"/>
        <v>72</v>
      </c>
      <c r="AB34" s="417">
        <f t="shared" si="92"/>
        <v>8</v>
      </c>
      <c r="AC34" s="417">
        <f t="shared" si="93"/>
        <v>17</v>
      </c>
      <c r="AD34" s="417">
        <f t="shared" si="94"/>
        <v>4</v>
      </c>
      <c r="AE34" s="417">
        <f t="shared" si="95"/>
        <v>1582</v>
      </c>
      <c r="AF34" s="417">
        <f t="shared" si="96"/>
        <v>2212</v>
      </c>
      <c r="AG34" s="417">
        <f t="shared" si="97"/>
        <v>4</v>
      </c>
      <c r="AH34" s="417">
        <f t="shared" si="98"/>
        <v>0</v>
      </c>
      <c r="AI34" s="417">
        <f t="shared" si="99"/>
        <v>78</v>
      </c>
      <c r="AJ34" s="417">
        <f t="shared" si="100"/>
        <v>134</v>
      </c>
      <c r="AK34" s="417">
        <f t="shared" si="101"/>
        <v>7677</v>
      </c>
      <c r="AL34" s="417">
        <f t="shared" si="102"/>
        <v>233</v>
      </c>
      <c r="AM34" s="417">
        <f t="shared" si="103"/>
        <v>2</v>
      </c>
      <c r="AN34" s="417">
        <f t="shared" si="104"/>
        <v>64</v>
      </c>
      <c r="AO34" s="417">
        <f t="shared" si="105"/>
        <v>2</v>
      </c>
      <c r="AP34" s="417">
        <f t="shared" si="106"/>
        <v>11</v>
      </c>
      <c r="AQ34" s="417">
        <f t="shared" si="107"/>
        <v>413</v>
      </c>
      <c r="AR34" s="417">
        <f t="shared" si="108"/>
        <v>0</v>
      </c>
      <c r="AS34" s="417">
        <f t="shared" si="109"/>
        <v>13</v>
      </c>
      <c r="AT34" s="417">
        <f t="shared" si="110"/>
        <v>959</v>
      </c>
      <c r="AU34" s="417">
        <f t="shared" si="111"/>
        <v>853</v>
      </c>
      <c r="AV34" s="417">
        <f t="shared" si="112"/>
        <v>0</v>
      </c>
      <c r="AW34" s="417">
        <f t="shared" si="113"/>
        <v>0</v>
      </c>
      <c r="AX34" s="417">
        <f t="shared" si="114"/>
        <v>50</v>
      </c>
      <c r="AY34" s="417">
        <f t="shared" si="115"/>
        <v>-23</v>
      </c>
      <c r="AZ34" s="417">
        <f t="shared" si="116"/>
        <v>0</v>
      </c>
      <c r="BA34" s="417">
        <f t="shared" si="117"/>
        <v>0</v>
      </c>
      <c r="BB34" s="417">
        <f t="shared" si="118"/>
        <v>153</v>
      </c>
      <c r="BC34" s="417">
        <f t="shared" si="119"/>
        <v>12529</v>
      </c>
      <c r="BD34" s="292"/>
      <c r="BE34" s="408" t="s">
        <v>749</v>
      </c>
      <c r="BF34" s="418">
        <v>468</v>
      </c>
      <c r="BG34" s="418">
        <v>98</v>
      </c>
      <c r="BH34" s="418">
        <v>0</v>
      </c>
      <c r="BI34" s="418">
        <v>7</v>
      </c>
      <c r="BJ34" s="418">
        <v>54</v>
      </c>
      <c r="BK34" s="418">
        <v>17</v>
      </c>
      <c r="BL34" s="418">
        <v>17</v>
      </c>
      <c r="BM34" s="418">
        <v>26</v>
      </c>
      <c r="BN34" s="418">
        <v>0</v>
      </c>
      <c r="BO34" s="418">
        <v>0</v>
      </c>
      <c r="BP34" s="418">
        <v>3</v>
      </c>
      <c r="BQ34" s="418">
        <v>23</v>
      </c>
      <c r="BR34" s="418">
        <v>136</v>
      </c>
      <c r="BS34" s="418">
        <v>3</v>
      </c>
      <c r="BT34" s="418">
        <v>75</v>
      </c>
      <c r="BU34" s="418">
        <v>6</v>
      </c>
      <c r="BV34" s="418">
        <v>1</v>
      </c>
      <c r="BW34" s="418">
        <v>0</v>
      </c>
      <c r="BX34" s="418">
        <v>0</v>
      </c>
      <c r="BY34" s="418">
        <v>100</v>
      </c>
      <c r="BZ34" s="418">
        <v>56</v>
      </c>
      <c r="CA34" s="418">
        <v>0</v>
      </c>
      <c r="CB34" s="418">
        <v>294</v>
      </c>
      <c r="CC34" s="418">
        <v>-4</v>
      </c>
      <c r="CD34" s="418">
        <v>682</v>
      </c>
      <c r="CE34" s="418">
        <v>72</v>
      </c>
      <c r="CF34" s="418">
        <v>8</v>
      </c>
      <c r="CG34" s="418">
        <v>0</v>
      </c>
      <c r="CH34" s="418">
        <v>4</v>
      </c>
      <c r="CI34" s="418">
        <v>49</v>
      </c>
      <c r="CJ34" s="418">
        <v>333</v>
      </c>
      <c r="CK34" s="418">
        <v>4</v>
      </c>
      <c r="CL34" s="418">
        <v>0</v>
      </c>
      <c r="CM34" s="418">
        <v>78</v>
      </c>
      <c r="CN34" s="418">
        <v>134</v>
      </c>
      <c r="CO34" s="418">
        <v>1710</v>
      </c>
      <c r="CP34" s="418">
        <v>110</v>
      </c>
      <c r="CQ34" s="418">
        <v>2</v>
      </c>
      <c r="CR34" s="418">
        <v>64</v>
      </c>
      <c r="CS34" s="418">
        <v>2</v>
      </c>
      <c r="CT34" s="418">
        <v>11</v>
      </c>
      <c r="CU34" s="418">
        <v>413</v>
      </c>
      <c r="CV34" s="418">
        <v>0</v>
      </c>
      <c r="CW34" s="418">
        <v>10</v>
      </c>
      <c r="CX34" s="418">
        <v>899</v>
      </c>
      <c r="CY34" s="418">
        <v>847</v>
      </c>
      <c r="CZ34" s="418">
        <v>0</v>
      </c>
      <c r="DA34" s="418">
        <v>0</v>
      </c>
      <c r="DB34" s="418">
        <v>50</v>
      </c>
      <c r="DC34" s="418">
        <v>-23</v>
      </c>
      <c r="DD34" s="418">
        <v>0</v>
      </c>
      <c r="DE34" s="418">
        <v>0</v>
      </c>
      <c r="DF34" s="418">
        <v>43</v>
      </c>
      <c r="DG34" s="418">
        <v>4704</v>
      </c>
      <c r="DI34" s="419" t="s">
        <v>749</v>
      </c>
      <c r="DJ34" s="420">
        <v>1262</v>
      </c>
      <c r="DK34" s="420">
        <v>294</v>
      </c>
      <c r="DL34" s="420">
        <v>7</v>
      </c>
      <c r="DM34" s="420">
        <v>0</v>
      </c>
      <c r="DN34" s="420">
        <v>6</v>
      </c>
      <c r="DO34" s="420">
        <v>0</v>
      </c>
      <c r="DP34" s="420">
        <v>27</v>
      </c>
      <c r="DQ34" s="420">
        <v>2</v>
      </c>
      <c r="DR34" s="420">
        <v>2</v>
      </c>
      <c r="DS34" s="420">
        <v>30</v>
      </c>
      <c r="DT34" s="420">
        <v>19</v>
      </c>
      <c r="DU34" s="420">
        <v>50</v>
      </c>
      <c r="DV34" s="420">
        <v>32</v>
      </c>
      <c r="DW34" s="420">
        <v>3</v>
      </c>
      <c r="DX34" s="420">
        <v>219</v>
      </c>
      <c r="DY34" s="420">
        <v>14</v>
      </c>
      <c r="DZ34" s="420">
        <v>8</v>
      </c>
      <c r="EA34" s="420">
        <v>350</v>
      </c>
      <c r="EB34" s="420">
        <v>0</v>
      </c>
      <c r="EC34" s="420">
        <v>493</v>
      </c>
      <c r="ED34" s="420">
        <v>0</v>
      </c>
      <c r="EE34" s="420">
        <v>0</v>
      </c>
      <c r="EF34" s="420">
        <v>0</v>
      </c>
      <c r="EG34" s="420">
        <v>1063</v>
      </c>
      <c r="EH34" s="420">
        <v>1475</v>
      </c>
      <c r="EI34" s="420">
        <v>0</v>
      </c>
      <c r="EJ34" s="420">
        <v>0</v>
      </c>
      <c r="EK34" s="420">
        <v>17</v>
      </c>
      <c r="EL34" s="420">
        <v>0</v>
      </c>
      <c r="EM34" s="420">
        <v>1533</v>
      </c>
      <c r="EN34" s="420">
        <v>1879</v>
      </c>
      <c r="EO34" s="420">
        <v>0</v>
      </c>
      <c r="EP34" s="420">
        <v>0</v>
      </c>
      <c r="EQ34" s="420">
        <v>0</v>
      </c>
      <c r="ER34" s="420">
        <v>0</v>
      </c>
      <c r="ES34" s="420">
        <v>5967</v>
      </c>
      <c r="ET34" s="420">
        <v>123</v>
      </c>
      <c r="EU34" s="420">
        <v>0</v>
      </c>
      <c r="EV34" s="420">
        <v>0</v>
      </c>
      <c r="EW34" s="420">
        <v>0</v>
      </c>
      <c r="EX34" s="420">
        <v>0</v>
      </c>
      <c r="EY34" s="420">
        <v>0</v>
      </c>
      <c r="EZ34" s="420">
        <v>0</v>
      </c>
      <c r="FA34" s="420">
        <v>3</v>
      </c>
      <c r="FB34" s="420">
        <v>60</v>
      </c>
      <c r="FC34" s="420">
        <v>6</v>
      </c>
      <c r="FD34" s="420">
        <v>0</v>
      </c>
      <c r="FE34" s="420">
        <v>0</v>
      </c>
      <c r="FF34" s="420">
        <v>0</v>
      </c>
      <c r="FG34" s="420">
        <v>0</v>
      </c>
      <c r="FH34" s="420">
        <v>0</v>
      </c>
      <c r="FI34" s="420">
        <v>0</v>
      </c>
      <c r="FJ34" s="420">
        <v>110</v>
      </c>
      <c r="FK34" s="421">
        <v>7825</v>
      </c>
    </row>
    <row r="35" spans="1:167" x14ac:dyDescent="0.35">
      <c r="A35" s="408" t="s">
        <v>750</v>
      </c>
      <c r="B35" s="417">
        <f t="shared" si="66"/>
        <v>69443</v>
      </c>
      <c r="C35" s="417">
        <f t="shared" si="67"/>
        <v>904</v>
      </c>
      <c r="D35" s="417">
        <f t="shared" si="68"/>
        <v>130</v>
      </c>
      <c r="E35" s="417">
        <f t="shared" si="69"/>
        <v>140</v>
      </c>
      <c r="F35" s="417">
        <f t="shared" si="70"/>
        <v>261</v>
      </c>
      <c r="G35" s="417">
        <f t="shared" si="71"/>
        <v>357</v>
      </c>
      <c r="H35" s="417">
        <f t="shared" si="72"/>
        <v>910</v>
      </c>
      <c r="I35" s="417">
        <f t="shared" si="73"/>
        <v>207</v>
      </c>
      <c r="J35" s="417">
        <f t="shared" si="74"/>
        <v>78</v>
      </c>
      <c r="K35" s="417">
        <f t="shared" si="75"/>
        <v>317</v>
      </c>
      <c r="L35" s="417">
        <f t="shared" si="76"/>
        <v>434</v>
      </c>
      <c r="M35" s="417">
        <f t="shared" si="77"/>
        <v>1171</v>
      </c>
      <c r="N35" s="417">
        <f t="shared" si="78"/>
        <v>108</v>
      </c>
      <c r="O35" s="417">
        <f t="shared" si="79"/>
        <v>96</v>
      </c>
      <c r="P35" s="417">
        <f t="shared" si="80"/>
        <v>25629</v>
      </c>
      <c r="Q35" s="417">
        <f t="shared" si="81"/>
        <v>310</v>
      </c>
      <c r="R35" s="417">
        <f t="shared" si="82"/>
        <v>600</v>
      </c>
      <c r="S35" s="417">
        <f t="shared" si="83"/>
        <v>33955</v>
      </c>
      <c r="T35" s="417">
        <f t="shared" si="84"/>
        <v>50</v>
      </c>
      <c r="U35" s="417">
        <f t="shared" si="85"/>
        <v>4690</v>
      </c>
      <c r="V35" s="417">
        <f t="shared" si="86"/>
        <v>2599</v>
      </c>
      <c r="W35" s="417">
        <f t="shared" si="87"/>
        <v>93</v>
      </c>
      <c r="X35" s="417">
        <f t="shared" si="88"/>
        <v>2791</v>
      </c>
      <c r="Y35" s="417">
        <f t="shared" si="89"/>
        <v>1302</v>
      </c>
      <c r="Z35" s="417">
        <f t="shared" si="90"/>
        <v>1990</v>
      </c>
      <c r="AA35" s="417">
        <f t="shared" si="91"/>
        <v>122</v>
      </c>
      <c r="AB35" s="417">
        <f t="shared" si="92"/>
        <v>74</v>
      </c>
      <c r="AC35" s="417">
        <f t="shared" si="93"/>
        <v>10</v>
      </c>
      <c r="AD35" s="417">
        <f t="shared" si="94"/>
        <v>268</v>
      </c>
      <c r="AE35" s="417">
        <f t="shared" si="95"/>
        <v>326</v>
      </c>
      <c r="AF35" s="417">
        <f t="shared" si="96"/>
        <v>236</v>
      </c>
      <c r="AG35" s="417">
        <f t="shared" si="97"/>
        <v>139</v>
      </c>
      <c r="AH35" s="417">
        <f t="shared" si="98"/>
        <v>29</v>
      </c>
      <c r="AI35" s="417">
        <f t="shared" si="99"/>
        <v>75</v>
      </c>
      <c r="AJ35" s="417">
        <f t="shared" si="100"/>
        <v>174</v>
      </c>
      <c r="AK35" s="417">
        <f t="shared" si="101"/>
        <v>10228</v>
      </c>
      <c r="AL35" s="417">
        <f t="shared" si="102"/>
        <v>173</v>
      </c>
      <c r="AM35" s="417">
        <f t="shared" si="103"/>
        <v>35</v>
      </c>
      <c r="AN35" s="417">
        <f t="shared" si="104"/>
        <v>60</v>
      </c>
      <c r="AO35" s="417">
        <f t="shared" si="105"/>
        <v>94</v>
      </c>
      <c r="AP35" s="417">
        <f t="shared" si="106"/>
        <v>56</v>
      </c>
      <c r="AQ35" s="417">
        <f t="shared" si="107"/>
        <v>4027</v>
      </c>
      <c r="AR35" s="417">
        <f t="shared" si="108"/>
        <v>476</v>
      </c>
      <c r="AS35" s="417">
        <f t="shared" si="109"/>
        <v>396</v>
      </c>
      <c r="AT35" s="417">
        <f t="shared" si="110"/>
        <v>15560</v>
      </c>
      <c r="AU35" s="417">
        <f t="shared" si="111"/>
        <v>145</v>
      </c>
      <c r="AV35" s="417">
        <f t="shared" si="112"/>
        <v>153</v>
      </c>
      <c r="AW35" s="417">
        <f t="shared" si="113"/>
        <v>3</v>
      </c>
      <c r="AX35" s="417">
        <f t="shared" si="114"/>
        <v>9</v>
      </c>
      <c r="AY35" s="417">
        <f t="shared" si="115"/>
        <v>3210</v>
      </c>
      <c r="AZ35" s="417">
        <f t="shared" si="116"/>
        <v>0</v>
      </c>
      <c r="BA35" s="417">
        <f t="shared" si="117"/>
        <v>3</v>
      </c>
      <c r="BB35" s="417">
        <f t="shared" si="118"/>
        <v>30</v>
      </c>
      <c r="BC35" s="417">
        <f t="shared" si="119"/>
        <v>105005</v>
      </c>
      <c r="BD35" s="292"/>
      <c r="BE35" s="408" t="s">
        <v>750</v>
      </c>
      <c r="BF35" s="418">
        <v>38979</v>
      </c>
      <c r="BG35" s="418">
        <v>821</v>
      </c>
      <c r="BH35" s="418">
        <v>114</v>
      </c>
      <c r="BI35" s="418">
        <v>132</v>
      </c>
      <c r="BJ35" s="418">
        <v>255</v>
      </c>
      <c r="BK35" s="418">
        <v>346</v>
      </c>
      <c r="BL35" s="418">
        <v>835</v>
      </c>
      <c r="BM35" s="418">
        <v>200</v>
      </c>
      <c r="BN35" s="418">
        <v>5</v>
      </c>
      <c r="BO35" s="418">
        <v>236</v>
      </c>
      <c r="BP35" s="418">
        <v>375</v>
      </c>
      <c r="BQ35" s="418">
        <v>1128</v>
      </c>
      <c r="BR35" s="418">
        <v>89</v>
      </c>
      <c r="BS35" s="418">
        <v>88</v>
      </c>
      <c r="BT35" s="418">
        <v>18462</v>
      </c>
      <c r="BU35" s="418">
        <v>260</v>
      </c>
      <c r="BV35" s="418">
        <v>488</v>
      </c>
      <c r="BW35" s="418">
        <v>11244</v>
      </c>
      <c r="BX35" s="418">
        <v>47</v>
      </c>
      <c r="BY35" s="418">
        <v>4675</v>
      </c>
      <c r="BZ35" s="418">
        <v>2599</v>
      </c>
      <c r="CA35" s="418">
        <v>93</v>
      </c>
      <c r="CB35" s="418">
        <v>2780</v>
      </c>
      <c r="CC35" s="418">
        <v>1281</v>
      </c>
      <c r="CD35" s="418">
        <v>106</v>
      </c>
      <c r="CE35" s="418">
        <v>112</v>
      </c>
      <c r="CF35" s="418">
        <v>73</v>
      </c>
      <c r="CG35" s="418">
        <v>2</v>
      </c>
      <c r="CH35" s="418">
        <v>268</v>
      </c>
      <c r="CI35" s="418">
        <v>320</v>
      </c>
      <c r="CJ35" s="418">
        <v>236</v>
      </c>
      <c r="CK35" s="418">
        <v>139</v>
      </c>
      <c r="CL35" s="418">
        <v>23</v>
      </c>
      <c r="CM35" s="418">
        <v>75</v>
      </c>
      <c r="CN35" s="418">
        <v>172</v>
      </c>
      <c r="CO35" s="418">
        <v>8279</v>
      </c>
      <c r="CP35" s="418">
        <v>173</v>
      </c>
      <c r="CQ35" s="418">
        <v>35</v>
      </c>
      <c r="CR35" s="418">
        <v>59</v>
      </c>
      <c r="CS35" s="418">
        <v>94</v>
      </c>
      <c r="CT35" s="418">
        <v>56</v>
      </c>
      <c r="CU35" s="418">
        <v>3963</v>
      </c>
      <c r="CV35" s="418">
        <v>476</v>
      </c>
      <c r="CW35" s="418">
        <v>361</v>
      </c>
      <c r="CX35" s="418">
        <v>6303</v>
      </c>
      <c r="CY35" s="418">
        <v>143</v>
      </c>
      <c r="CZ35" s="418">
        <v>153</v>
      </c>
      <c r="DA35" s="418">
        <v>3</v>
      </c>
      <c r="DB35" s="418">
        <v>9</v>
      </c>
      <c r="DC35" s="418">
        <v>3210</v>
      </c>
      <c r="DD35" s="418">
        <v>0</v>
      </c>
      <c r="DE35" s="418">
        <v>2</v>
      </c>
      <c r="DF35" s="418">
        <v>29</v>
      </c>
      <c r="DG35" s="418">
        <v>63148</v>
      </c>
      <c r="DI35" s="419" t="s">
        <v>750</v>
      </c>
      <c r="DJ35" s="420">
        <v>30464</v>
      </c>
      <c r="DK35" s="420">
        <v>83</v>
      </c>
      <c r="DL35" s="420">
        <v>16</v>
      </c>
      <c r="DM35" s="420">
        <v>8</v>
      </c>
      <c r="DN35" s="420">
        <v>6</v>
      </c>
      <c r="DO35" s="420">
        <v>11</v>
      </c>
      <c r="DP35" s="420">
        <v>75</v>
      </c>
      <c r="DQ35" s="420">
        <v>7</v>
      </c>
      <c r="DR35" s="420">
        <v>73</v>
      </c>
      <c r="DS35" s="420">
        <v>81</v>
      </c>
      <c r="DT35" s="420">
        <v>59</v>
      </c>
      <c r="DU35" s="420">
        <v>43</v>
      </c>
      <c r="DV35" s="420">
        <v>19</v>
      </c>
      <c r="DW35" s="420">
        <v>8</v>
      </c>
      <c r="DX35" s="420">
        <v>7167</v>
      </c>
      <c r="DY35" s="420">
        <v>50</v>
      </c>
      <c r="DZ35" s="420">
        <v>112</v>
      </c>
      <c r="EA35" s="420">
        <v>22711</v>
      </c>
      <c r="EB35" s="420">
        <v>3</v>
      </c>
      <c r="EC35" s="420">
        <v>15</v>
      </c>
      <c r="ED35" s="420">
        <v>0</v>
      </c>
      <c r="EE35" s="420">
        <v>0</v>
      </c>
      <c r="EF35" s="420">
        <v>11</v>
      </c>
      <c r="EG35" s="420">
        <v>21</v>
      </c>
      <c r="EH35" s="420">
        <v>1884</v>
      </c>
      <c r="EI35" s="420">
        <v>10</v>
      </c>
      <c r="EJ35" s="420">
        <v>1</v>
      </c>
      <c r="EK35" s="420">
        <v>8</v>
      </c>
      <c r="EL35" s="420">
        <v>0</v>
      </c>
      <c r="EM35" s="420">
        <v>6</v>
      </c>
      <c r="EN35" s="420">
        <v>0</v>
      </c>
      <c r="EO35" s="420">
        <v>0</v>
      </c>
      <c r="EP35" s="420">
        <v>6</v>
      </c>
      <c r="EQ35" s="420">
        <v>0</v>
      </c>
      <c r="ER35" s="420">
        <v>2</v>
      </c>
      <c r="ES35" s="420">
        <v>1949</v>
      </c>
      <c r="ET35" s="420">
        <v>0</v>
      </c>
      <c r="EU35" s="420">
        <v>0</v>
      </c>
      <c r="EV35" s="420">
        <v>1</v>
      </c>
      <c r="EW35" s="420">
        <v>0</v>
      </c>
      <c r="EX35" s="420">
        <v>0</v>
      </c>
      <c r="EY35" s="420">
        <v>64</v>
      </c>
      <c r="EZ35" s="420">
        <v>0</v>
      </c>
      <c r="FA35" s="420">
        <v>35</v>
      </c>
      <c r="FB35" s="420">
        <v>9257</v>
      </c>
      <c r="FC35" s="420">
        <v>2</v>
      </c>
      <c r="FD35" s="420">
        <v>0</v>
      </c>
      <c r="FE35" s="420">
        <v>0</v>
      </c>
      <c r="FF35" s="420">
        <v>0</v>
      </c>
      <c r="FG35" s="420">
        <v>0</v>
      </c>
      <c r="FH35" s="420">
        <v>0</v>
      </c>
      <c r="FI35" s="420">
        <v>1</v>
      </c>
      <c r="FJ35" s="420">
        <v>1</v>
      </c>
      <c r="FK35" s="421">
        <v>41857</v>
      </c>
    </row>
    <row r="36" spans="1:167" x14ac:dyDescent="0.35">
      <c r="A36" s="408" t="s">
        <v>751</v>
      </c>
      <c r="B36" s="417">
        <f t="shared" si="66"/>
        <v>1189</v>
      </c>
      <c r="C36" s="417">
        <f t="shared" si="67"/>
        <v>2588</v>
      </c>
      <c r="D36" s="417">
        <f t="shared" si="68"/>
        <v>0</v>
      </c>
      <c r="E36" s="417">
        <f t="shared" si="69"/>
        <v>0</v>
      </c>
      <c r="F36" s="417">
        <f t="shared" si="70"/>
        <v>18</v>
      </c>
      <c r="G36" s="417">
        <f t="shared" si="71"/>
        <v>1</v>
      </c>
      <c r="H36" s="417">
        <f t="shared" si="72"/>
        <v>41</v>
      </c>
      <c r="I36" s="417">
        <f t="shared" si="73"/>
        <v>4</v>
      </c>
      <c r="J36" s="417">
        <f t="shared" si="74"/>
        <v>0</v>
      </c>
      <c r="K36" s="417">
        <f t="shared" si="75"/>
        <v>1</v>
      </c>
      <c r="L36" s="417">
        <f t="shared" si="76"/>
        <v>92</v>
      </c>
      <c r="M36" s="417">
        <f t="shared" si="77"/>
        <v>1</v>
      </c>
      <c r="N36" s="417">
        <f t="shared" si="78"/>
        <v>280</v>
      </c>
      <c r="O36" s="417">
        <f t="shared" si="79"/>
        <v>0</v>
      </c>
      <c r="P36" s="417">
        <f t="shared" si="80"/>
        <v>50</v>
      </c>
      <c r="Q36" s="417">
        <f t="shared" si="81"/>
        <v>1</v>
      </c>
      <c r="R36" s="417">
        <f t="shared" si="82"/>
        <v>18</v>
      </c>
      <c r="S36" s="417">
        <f t="shared" si="83"/>
        <v>409</v>
      </c>
      <c r="T36" s="417">
        <f t="shared" si="84"/>
        <v>2</v>
      </c>
      <c r="U36" s="417">
        <f t="shared" si="85"/>
        <v>271</v>
      </c>
      <c r="V36" s="417">
        <f t="shared" si="86"/>
        <v>5</v>
      </c>
      <c r="W36" s="417">
        <f t="shared" si="87"/>
        <v>0</v>
      </c>
      <c r="X36" s="417">
        <f t="shared" si="88"/>
        <v>204</v>
      </c>
      <c r="Y36" s="417">
        <f t="shared" si="89"/>
        <v>160</v>
      </c>
      <c r="Z36" s="417">
        <f t="shared" si="90"/>
        <v>2115</v>
      </c>
      <c r="AA36" s="417">
        <f t="shared" si="91"/>
        <v>0</v>
      </c>
      <c r="AB36" s="417">
        <f t="shared" si="92"/>
        <v>0</v>
      </c>
      <c r="AC36" s="417">
        <f t="shared" si="93"/>
        <v>11</v>
      </c>
      <c r="AD36" s="417">
        <f t="shared" si="94"/>
        <v>39</v>
      </c>
      <c r="AE36" s="417">
        <f t="shared" si="95"/>
        <v>77</v>
      </c>
      <c r="AF36" s="417">
        <f t="shared" si="96"/>
        <v>411</v>
      </c>
      <c r="AG36" s="417">
        <f t="shared" si="97"/>
        <v>42</v>
      </c>
      <c r="AH36" s="417">
        <f t="shared" si="98"/>
        <v>0</v>
      </c>
      <c r="AI36" s="417">
        <f t="shared" si="99"/>
        <v>0</v>
      </c>
      <c r="AJ36" s="417">
        <f t="shared" si="100"/>
        <v>88</v>
      </c>
      <c r="AK36" s="417">
        <f t="shared" si="101"/>
        <v>3152</v>
      </c>
      <c r="AL36" s="417">
        <f t="shared" si="102"/>
        <v>242</v>
      </c>
      <c r="AM36" s="417">
        <f t="shared" si="103"/>
        <v>162</v>
      </c>
      <c r="AN36" s="417">
        <f t="shared" si="104"/>
        <v>137</v>
      </c>
      <c r="AO36" s="417">
        <f t="shared" si="105"/>
        <v>34</v>
      </c>
      <c r="AP36" s="417">
        <f t="shared" si="106"/>
        <v>11</v>
      </c>
      <c r="AQ36" s="417">
        <f t="shared" si="107"/>
        <v>14</v>
      </c>
      <c r="AR36" s="417">
        <f t="shared" si="108"/>
        <v>0</v>
      </c>
      <c r="AS36" s="417">
        <f t="shared" si="109"/>
        <v>95</v>
      </c>
      <c r="AT36" s="417">
        <f t="shared" si="110"/>
        <v>791</v>
      </c>
      <c r="AU36" s="417">
        <f t="shared" si="111"/>
        <v>6534</v>
      </c>
      <c r="AV36" s="417">
        <f t="shared" si="112"/>
        <v>18</v>
      </c>
      <c r="AW36" s="417">
        <f t="shared" si="113"/>
        <v>0</v>
      </c>
      <c r="AX36" s="417">
        <f t="shared" si="114"/>
        <v>31</v>
      </c>
      <c r="AY36" s="417">
        <f t="shared" si="115"/>
        <v>10</v>
      </c>
      <c r="AZ36" s="417">
        <f t="shared" si="116"/>
        <v>0</v>
      </c>
      <c r="BA36" s="417">
        <f t="shared" si="117"/>
        <v>0</v>
      </c>
      <c r="BB36" s="417">
        <f t="shared" si="118"/>
        <v>315</v>
      </c>
      <c r="BC36" s="417">
        <f t="shared" si="119"/>
        <v>15323</v>
      </c>
      <c r="BD36" s="292"/>
      <c r="BE36" s="408" t="s">
        <v>751</v>
      </c>
      <c r="BF36" s="418">
        <v>599</v>
      </c>
      <c r="BG36" s="418">
        <v>712</v>
      </c>
      <c r="BH36" s="418">
        <v>0</v>
      </c>
      <c r="BI36" s="418">
        <v>0</v>
      </c>
      <c r="BJ36" s="418">
        <v>18</v>
      </c>
      <c r="BK36" s="418">
        <v>1</v>
      </c>
      <c r="BL36" s="418">
        <v>41</v>
      </c>
      <c r="BM36" s="418">
        <v>4</v>
      </c>
      <c r="BN36" s="418">
        <v>0</v>
      </c>
      <c r="BO36" s="418">
        <v>1</v>
      </c>
      <c r="BP36" s="418">
        <v>1</v>
      </c>
      <c r="BQ36" s="418">
        <v>1</v>
      </c>
      <c r="BR36" s="418">
        <v>268</v>
      </c>
      <c r="BS36" s="418">
        <v>0</v>
      </c>
      <c r="BT36" s="418">
        <v>50</v>
      </c>
      <c r="BU36" s="418">
        <v>1</v>
      </c>
      <c r="BV36" s="418">
        <v>18</v>
      </c>
      <c r="BW36" s="418">
        <v>1</v>
      </c>
      <c r="BX36" s="418">
        <v>2</v>
      </c>
      <c r="BY36" s="418">
        <v>192</v>
      </c>
      <c r="BZ36" s="418">
        <v>5</v>
      </c>
      <c r="CA36" s="418">
        <v>0</v>
      </c>
      <c r="CB36" s="418">
        <v>204</v>
      </c>
      <c r="CC36" s="418">
        <v>160</v>
      </c>
      <c r="CD36" s="418">
        <v>598</v>
      </c>
      <c r="CE36" s="418">
        <v>0</v>
      </c>
      <c r="CF36" s="418">
        <v>0</v>
      </c>
      <c r="CG36" s="418">
        <v>0</v>
      </c>
      <c r="CH36" s="418">
        <v>39</v>
      </c>
      <c r="CI36" s="418">
        <v>77</v>
      </c>
      <c r="CJ36" s="418">
        <v>411</v>
      </c>
      <c r="CK36" s="418">
        <v>42</v>
      </c>
      <c r="CL36" s="418">
        <v>0</v>
      </c>
      <c r="CM36" s="418">
        <v>0</v>
      </c>
      <c r="CN36" s="418">
        <v>69</v>
      </c>
      <c r="CO36" s="418">
        <v>1605</v>
      </c>
      <c r="CP36" s="418">
        <v>13</v>
      </c>
      <c r="CQ36" s="418">
        <v>162</v>
      </c>
      <c r="CR36" s="418">
        <v>137</v>
      </c>
      <c r="CS36" s="418">
        <v>34</v>
      </c>
      <c r="CT36" s="418">
        <v>11</v>
      </c>
      <c r="CU36" s="418">
        <v>10</v>
      </c>
      <c r="CV36" s="418">
        <v>0</v>
      </c>
      <c r="CW36" s="418">
        <v>95</v>
      </c>
      <c r="CX36" s="418">
        <v>280</v>
      </c>
      <c r="CY36" s="418">
        <v>5276</v>
      </c>
      <c r="CZ36" s="418">
        <v>7</v>
      </c>
      <c r="DA36" s="418">
        <v>0</v>
      </c>
      <c r="DB36" s="418">
        <v>0</v>
      </c>
      <c r="DC36" s="418">
        <v>10</v>
      </c>
      <c r="DD36" s="418">
        <v>0</v>
      </c>
      <c r="DE36" s="418">
        <v>0</v>
      </c>
      <c r="DF36" s="418">
        <v>22</v>
      </c>
      <c r="DG36" s="418">
        <v>8973</v>
      </c>
      <c r="DI36" s="419" t="s">
        <v>751</v>
      </c>
      <c r="DJ36" s="420">
        <v>590</v>
      </c>
      <c r="DK36" s="420">
        <v>1876</v>
      </c>
      <c r="DL36" s="420">
        <v>0</v>
      </c>
      <c r="DM36" s="420">
        <v>0</v>
      </c>
      <c r="DN36" s="420">
        <v>0</v>
      </c>
      <c r="DO36" s="420">
        <v>0</v>
      </c>
      <c r="DP36" s="420">
        <v>0</v>
      </c>
      <c r="DQ36" s="420">
        <v>0</v>
      </c>
      <c r="DR36" s="420">
        <v>0</v>
      </c>
      <c r="DS36" s="420">
        <v>0</v>
      </c>
      <c r="DT36" s="420">
        <v>91</v>
      </c>
      <c r="DU36" s="420">
        <v>0</v>
      </c>
      <c r="DV36" s="420">
        <v>12</v>
      </c>
      <c r="DW36" s="420">
        <v>0</v>
      </c>
      <c r="DX36" s="420">
        <v>0</v>
      </c>
      <c r="DY36" s="420">
        <v>0</v>
      </c>
      <c r="DZ36" s="420">
        <v>0</v>
      </c>
      <c r="EA36" s="420">
        <v>408</v>
      </c>
      <c r="EB36" s="420">
        <v>0</v>
      </c>
      <c r="EC36" s="420">
        <v>79</v>
      </c>
      <c r="ED36" s="420">
        <v>0</v>
      </c>
      <c r="EE36" s="420">
        <v>0</v>
      </c>
      <c r="EF36" s="420">
        <v>0</v>
      </c>
      <c r="EG36" s="420">
        <v>0</v>
      </c>
      <c r="EH36" s="420">
        <v>1517</v>
      </c>
      <c r="EI36" s="420">
        <v>0</v>
      </c>
      <c r="EJ36" s="420">
        <v>0</v>
      </c>
      <c r="EK36" s="420">
        <v>11</v>
      </c>
      <c r="EL36" s="420">
        <v>0</v>
      </c>
      <c r="EM36" s="420">
        <v>0</v>
      </c>
      <c r="EN36" s="420">
        <v>0</v>
      </c>
      <c r="EO36" s="420">
        <v>0</v>
      </c>
      <c r="EP36" s="420">
        <v>0</v>
      </c>
      <c r="EQ36" s="420">
        <v>0</v>
      </c>
      <c r="ER36" s="420">
        <v>19</v>
      </c>
      <c r="ES36" s="420">
        <v>1547</v>
      </c>
      <c r="ET36" s="420">
        <v>229</v>
      </c>
      <c r="EU36" s="420">
        <v>0</v>
      </c>
      <c r="EV36" s="420">
        <v>0</v>
      </c>
      <c r="EW36" s="420">
        <v>0</v>
      </c>
      <c r="EX36" s="420">
        <v>0</v>
      </c>
      <c r="EY36" s="420">
        <v>4</v>
      </c>
      <c r="EZ36" s="420">
        <v>0</v>
      </c>
      <c r="FA36" s="420">
        <v>0</v>
      </c>
      <c r="FB36" s="420">
        <v>511</v>
      </c>
      <c r="FC36" s="420">
        <v>1258</v>
      </c>
      <c r="FD36" s="420">
        <v>11</v>
      </c>
      <c r="FE36" s="420">
        <v>0</v>
      </c>
      <c r="FF36" s="420">
        <v>31</v>
      </c>
      <c r="FG36" s="420">
        <v>0</v>
      </c>
      <c r="FH36" s="420">
        <v>0</v>
      </c>
      <c r="FI36" s="420">
        <v>0</v>
      </c>
      <c r="FJ36" s="420">
        <v>293</v>
      </c>
      <c r="FK36" s="421">
        <v>6350</v>
      </c>
    </row>
    <row r="37" spans="1:167" x14ac:dyDescent="0.35">
      <c r="A37" s="408" t="s">
        <v>752</v>
      </c>
      <c r="B37" s="417">
        <f t="shared" si="66"/>
        <v>49223</v>
      </c>
      <c r="C37" s="417">
        <f t="shared" si="67"/>
        <v>2095</v>
      </c>
      <c r="D37" s="417">
        <f t="shared" si="68"/>
        <v>1030</v>
      </c>
      <c r="E37" s="417">
        <f t="shared" si="69"/>
        <v>182</v>
      </c>
      <c r="F37" s="417">
        <f t="shared" si="70"/>
        <v>231</v>
      </c>
      <c r="G37" s="417">
        <f t="shared" si="71"/>
        <v>66</v>
      </c>
      <c r="H37" s="417">
        <f t="shared" si="72"/>
        <v>471</v>
      </c>
      <c r="I37" s="417">
        <f t="shared" si="73"/>
        <v>341</v>
      </c>
      <c r="J37" s="417">
        <f t="shared" si="74"/>
        <v>338</v>
      </c>
      <c r="K37" s="417">
        <f t="shared" si="75"/>
        <v>102</v>
      </c>
      <c r="L37" s="417">
        <f t="shared" si="76"/>
        <v>223</v>
      </c>
      <c r="M37" s="417">
        <f t="shared" si="77"/>
        <v>575</v>
      </c>
      <c r="N37" s="417">
        <f t="shared" si="78"/>
        <v>2555</v>
      </c>
      <c r="O37" s="417">
        <f t="shared" si="79"/>
        <v>283</v>
      </c>
      <c r="P37" s="417">
        <f t="shared" si="80"/>
        <v>8413</v>
      </c>
      <c r="Q37" s="417">
        <f t="shared" si="81"/>
        <v>117</v>
      </c>
      <c r="R37" s="417">
        <f t="shared" si="82"/>
        <v>255</v>
      </c>
      <c r="S37" s="417">
        <f t="shared" si="83"/>
        <v>27440</v>
      </c>
      <c r="T37" s="417">
        <f t="shared" si="84"/>
        <v>77</v>
      </c>
      <c r="U37" s="417">
        <f t="shared" si="85"/>
        <v>6524</v>
      </c>
      <c r="V37" s="417">
        <f t="shared" si="86"/>
        <v>1528</v>
      </c>
      <c r="W37" s="417">
        <f t="shared" si="87"/>
        <v>73</v>
      </c>
      <c r="X37" s="417">
        <f t="shared" si="88"/>
        <v>6041</v>
      </c>
      <c r="Y37" s="417">
        <f t="shared" si="89"/>
        <v>2819</v>
      </c>
      <c r="Z37" s="417">
        <f t="shared" si="90"/>
        <v>5327</v>
      </c>
      <c r="AA37" s="417">
        <f t="shared" si="91"/>
        <v>551</v>
      </c>
      <c r="AB37" s="417">
        <f t="shared" si="92"/>
        <v>335</v>
      </c>
      <c r="AC37" s="417">
        <f t="shared" si="93"/>
        <v>493</v>
      </c>
      <c r="AD37" s="417">
        <f t="shared" si="94"/>
        <v>644</v>
      </c>
      <c r="AE37" s="417">
        <f t="shared" si="95"/>
        <v>1354</v>
      </c>
      <c r="AF37" s="417">
        <f t="shared" si="96"/>
        <v>3232</v>
      </c>
      <c r="AG37" s="417">
        <f t="shared" si="97"/>
        <v>1160</v>
      </c>
      <c r="AH37" s="417">
        <f t="shared" si="98"/>
        <v>125</v>
      </c>
      <c r="AI37" s="417">
        <f t="shared" si="99"/>
        <v>494</v>
      </c>
      <c r="AJ37" s="417">
        <f t="shared" si="100"/>
        <v>1395</v>
      </c>
      <c r="AK37" s="417">
        <f t="shared" si="101"/>
        <v>25571</v>
      </c>
      <c r="AL37" s="417">
        <f t="shared" si="102"/>
        <v>654</v>
      </c>
      <c r="AM37" s="417">
        <f t="shared" si="103"/>
        <v>18</v>
      </c>
      <c r="AN37" s="417">
        <f t="shared" si="104"/>
        <v>685</v>
      </c>
      <c r="AO37" s="417">
        <f t="shared" si="105"/>
        <v>177</v>
      </c>
      <c r="AP37" s="417">
        <f t="shared" si="106"/>
        <v>106</v>
      </c>
      <c r="AQ37" s="417">
        <f t="shared" si="107"/>
        <v>350</v>
      </c>
      <c r="AR37" s="417">
        <f t="shared" si="108"/>
        <v>153</v>
      </c>
      <c r="AS37" s="417">
        <f t="shared" si="109"/>
        <v>1335</v>
      </c>
      <c r="AT37" s="417">
        <f t="shared" si="110"/>
        <v>21651</v>
      </c>
      <c r="AU37" s="417">
        <f t="shared" si="111"/>
        <v>5649</v>
      </c>
      <c r="AV37" s="417">
        <f t="shared" si="112"/>
        <v>49</v>
      </c>
      <c r="AW37" s="417">
        <f t="shared" si="113"/>
        <v>12</v>
      </c>
      <c r="AX37" s="417">
        <f t="shared" si="114"/>
        <v>107</v>
      </c>
      <c r="AY37" s="417">
        <f t="shared" si="115"/>
        <v>4467</v>
      </c>
      <c r="AZ37" s="417">
        <f t="shared" si="116"/>
        <v>72</v>
      </c>
      <c r="BA37" s="417">
        <f t="shared" si="117"/>
        <v>56</v>
      </c>
      <c r="BB37" s="417">
        <f t="shared" si="118"/>
        <v>1181</v>
      </c>
      <c r="BC37" s="417">
        <f t="shared" si="119"/>
        <v>113611</v>
      </c>
      <c r="BD37" s="292"/>
      <c r="BE37" s="408" t="s">
        <v>752</v>
      </c>
      <c r="BF37" s="418">
        <v>19400</v>
      </c>
      <c r="BG37" s="418">
        <v>770</v>
      </c>
      <c r="BH37" s="418">
        <v>718</v>
      </c>
      <c r="BI37" s="418">
        <v>174</v>
      </c>
      <c r="BJ37" s="418">
        <v>207</v>
      </c>
      <c r="BK37" s="418">
        <v>56</v>
      </c>
      <c r="BL37" s="418">
        <v>409</v>
      </c>
      <c r="BM37" s="418">
        <v>338</v>
      </c>
      <c r="BN37" s="418">
        <v>2</v>
      </c>
      <c r="BO37" s="418">
        <v>67</v>
      </c>
      <c r="BP37" s="418">
        <v>85</v>
      </c>
      <c r="BQ37" s="418">
        <v>460</v>
      </c>
      <c r="BR37" s="418">
        <v>2104</v>
      </c>
      <c r="BS37" s="418">
        <v>278</v>
      </c>
      <c r="BT37" s="418">
        <v>7239</v>
      </c>
      <c r="BU37" s="418">
        <v>75</v>
      </c>
      <c r="BV37" s="418">
        <v>149</v>
      </c>
      <c r="BW37" s="418">
        <v>1798</v>
      </c>
      <c r="BX37" s="418">
        <v>72</v>
      </c>
      <c r="BY37" s="418">
        <v>5169</v>
      </c>
      <c r="BZ37" s="418">
        <v>1528</v>
      </c>
      <c r="CA37" s="418">
        <v>73</v>
      </c>
      <c r="CB37" s="418">
        <v>6036</v>
      </c>
      <c r="CC37" s="418">
        <v>2759</v>
      </c>
      <c r="CD37" s="418">
        <v>1229</v>
      </c>
      <c r="CE37" s="418">
        <v>551</v>
      </c>
      <c r="CF37" s="418">
        <v>328</v>
      </c>
      <c r="CG37" s="418">
        <v>163</v>
      </c>
      <c r="CH37" s="418">
        <v>644</v>
      </c>
      <c r="CI37" s="418">
        <v>1291</v>
      </c>
      <c r="CJ37" s="418">
        <v>3134</v>
      </c>
      <c r="CK37" s="418">
        <v>1160</v>
      </c>
      <c r="CL37" s="418">
        <v>35</v>
      </c>
      <c r="CM37" s="418">
        <v>494</v>
      </c>
      <c r="CN37" s="418">
        <v>1036</v>
      </c>
      <c r="CO37" s="418">
        <v>20461</v>
      </c>
      <c r="CP37" s="418">
        <v>483</v>
      </c>
      <c r="CQ37" s="418">
        <v>18</v>
      </c>
      <c r="CR37" s="418">
        <v>685</v>
      </c>
      <c r="CS37" s="418">
        <v>177</v>
      </c>
      <c r="CT37" s="418">
        <v>106</v>
      </c>
      <c r="CU37" s="418">
        <v>206</v>
      </c>
      <c r="CV37" s="418">
        <v>153</v>
      </c>
      <c r="CW37" s="418">
        <v>1204</v>
      </c>
      <c r="CX37" s="418">
        <v>4252</v>
      </c>
      <c r="CY37" s="418">
        <v>5437</v>
      </c>
      <c r="CZ37" s="418">
        <v>37</v>
      </c>
      <c r="DA37" s="418">
        <v>12</v>
      </c>
      <c r="DB37" s="418">
        <v>28</v>
      </c>
      <c r="DC37" s="418">
        <v>4227</v>
      </c>
      <c r="DD37" s="418">
        <v>72</v>
      </c>
      <c r="DE37" s="418">
        <v>56</v>
      </c>
      <c r="DF37" s="418">
        <v>858</v>
      </c>
      <c r="DG37" s="418">
        <v>58642</v>
      </c>
      <c r="DI37" s="419" t="s">
        <v>752</v>
      </c>
      <c r="DJ37" s="420">
        <v>29823</v>
      </c>
      <c r="DK37" s="420">
        <v>1325</v>
      </c>
      <c r="DL37" s="420">
        <v>312</v>
      </c>
      <c r="DM37" s="420">
        <v>8</v>
      </c>
      <c r="DN37" s="420">
        <v>24</v>
      </c>
      <c r="DO37" s="420">
        <v>10</v>
      </c>
      <c r="DP37" s="420">
        <v>62</v>
      </c>
      <c r="DQ37" s="420">
        <v>3</v>
      </c>
      <c r="DR37" s="420">
        <v>336</v>
      </c>
      <c r="DS37" s="420">
        <v>35</v>
      </c>
      <c r="DT37" s="420">
        <v>138</v>
      </c>
      <c r="DU37" s="420">
        <v>115</v>
      </c>
      <c r="DV37" s="420">
        <v>451</v>
      </c>
      <c r="DW37" s="420">
        <v>5</v>
      </c>
      <c r="DX37" s="420">
        <v>1174</v>
      </c>
      <c r="DY37" s="420">
        <v>42</v>
      </c>
      <c r="DZ37" s="420">
        <v>106</v>
      </c>
      <c r="EA37" s="420">
        <v>25642</v>
      </c>
      <c r="EB37" s="420">
        <v>5</v>
      </c>
      <c r="EC37" s="420">
        <v>1355</v>
      </c>
      <c r="ED37" s="420">
        <v>0</v>
      </c>
      <c r="EE37" s="420">
        <v>0</v>
      </c>
      <c r="EF37" s="420">
        <v>5</v>
      </c>
      <c r="EG37" s="420">
        <v>60</v>
      </c>
      <c r="EH37" s="420">
        <v>4098</v>
      </c>
      <c r="EI37" s="420">
        <v>0</v>
      </c>
      <c r="EJ37" s="420">
        <v>7</v>
      </c>
      <c r="EK37" s="420">
        <v>330</v>
      </c>
      <c r="EL37" s="420">
        <v>0</v>
      </c>
      <c r="EM37" s="420">
        <v>63</v>
      </c>
      <c r="EN37" s="420">
        <v>98</v>
      </c>
      <c r="EO37" s="420">
        <v>0</v>
      </c>
      <c r="EP37" s="420">
        <v>90</v>
      </c>
      <c r="EQ37" s="420">
        <v>0</v>
      </c>
      <c r="ER37" s="420">
        <v>359</v>
      </c>
      <c r="ES37" s="420">
        <v>5110</v>
      </c>
      <c r="ET37" s="420">
        <v>171</v>
      </c>
      <c r="EU37" s="420">
        <v>0</v>
      </c>
      <c r="EV37" s="420">
        <v>0</v>
      </c>
      <c r="EW37" s="420">
        <v>0</v>
      </c>
      <c r="EX37" s="420">
        <v>0</v>
      </c>
      <c r="EY37" s="420">
        <v>144</v>
      </c>
      <c r="EZ37" s="420">
        <v>0</v>
      </c>
      <c r="FA37" s="420">
        <v>131</v>
      </c>
      <c r="FB37" s="420">
        <v>17399</v>
      </c>
      <c r="FC37" s="420">
        <v>212</v>
      </c>
      <c r="FD37" s="420">
        <v>12</v>
      </c>
      <c r="FE37" s="420">
        <v>0</v>
      </c>
      <c r="FF37" s="420">
        <v>79</v>
      </c>
      <c r="FG37" s="420">
        <v>240</v>
      </c>
      <c r="FH37" s="420">
        <v>0</v>
      </c>
      <c r="FI37" s="420">
        <v>0</v>
      </c>
      <c r="FJ37" s="420">
        <v>323</v>
      </c>
      <c r="FK37" s="421">
        <v>54969</v>
      </c>
    </row>
    <row r="38" spans="1:167" x14ac:dyDescent="0.35">
      <c r="A38" s="408" t="s">
        <v>753</v>
      </c>
      <c r="B38" s="417">
        <f t="shared" si="66"/>
        <v>166765</v>
      </c>
      <c r="C38" s="417">
        <f t="shared" si="67"/>
        <v>2988</v>
      </c>
      <c r="D38" s="417">
        <f t="shared" si="68"/>
        <v>404</v>
      </c>
      <c r="E38" s="417">
        <f t="shared" si="69"/>
        <v>197</v>
      </c>
      <c r="F38" s="417">
        <f t="shared" si="70"/>
        <v>714</v>
      </c>
      <c r="G38" s="417">
        <f t="shared" si="71"/>
        <v>2083</v>
      </c>
      <c r="H38" s="417">
        <f t="shared" si="72"/>
        <v>84262</v>
      </c>
      <c r="I38" s="417">
        <f t="shared" si="73"/>
        <v>8628</v>
      </c>
      <c r="J38" s="417">
        <f t="shared" si="74"/>
        <v>374</v>
      </c>
      <c r="K38" s="417">
        <f t="shared" si="75"/>
        <v>19267</v>
      </c>
      <c r="L38" s="417">
        <f t="shared" si="76"/>
        <v>5118</v>
      </c>
      <c r="M38" s="417">
        <f t="shared" si="77"/>
        <v>1888</v>
      </c>
      <c r="N38" s="417">
        <f t="shared" si="78"/>
        <v>182</v>
      </c>
      <c r="O38" s="417">
        <f t="shared" si="79"/>
        <v>4002</v>
      </c>
      <c r="P38" s="417">
        <f t="shared" si="80"/>
        <v>3179</v>
      </c>
      <c r="Q38" s="417">
        <f t="shared" si="81"/>
        <v>103</v>
      </c>
      <c r="R38" s="417">
        <f t="shared" si="82"/>
        <v>646</v>
      </c>
      <c r="S38" s="417">
        <f t="shared" si="83"/>
        <v>20632</v>
      </c>
      <c r="T38" s="417">
        <f t="shared" si="84"/>
        <v>87</v>
      </c>
      <c r="U38" s="417">
        <f t="shared" si="85"/>
        <v>14999</v>
      </c>
      <c r="V38" s="417">
        <f t="shared" si="86"/>
        <v>854</v>
      </c>
      <c r="W38" s="417">
        <f t="shared" si="87"/>
        <v>29</v>
      </c>
      <c r="X38" s="417">
        <f t="shared" si="88"/>
        <v>3408</v>
      </c>
      <c r="Y38" s="417">
        <f t="shared" si="89"/>
        <v>610</v>
      </c>
      <c r="Z38" s="417">
        <f t="shared" si="90"/>
        <v>7825</v>
      </c>
      <c r="AA38" s="417">
        <f t="shared" si="91"/>
        <v>702</v>
      </c>
      <c r="AB38" s="417">
        <f t="shared" si="92"/>
        <v>168</v>
      </c>
      <c r="AC38" s="417">
        <f t="shared" si="93"/>
        <v>276</v>
      </c>
      <c r="AD38" s="417">
        <f t="shared" si="94"/>
        <v>682</v>
      </c>
      <c r="AE38" s="417">
        <f t="shared" si="95"/>
        <v>25094</v>
      </c>
      <c r="AF38" s="417">
        <f t="shared" si="96"/>
        <v>994</v>
      </c>
      <c r="AG38" s="417">
        <f t="shared" si="97"/>
        <v>891</v>
      </c>
      <c r="AH38" s="417">
        <f t="shared" si="98"/>
        <v>349</v>
      </c>
      <c r="AI38" s="417">
        <f t="shared" si="99"/>
        <v>760</v>
      </c>
      <c r="AJ38" s="417">
        <f t="shared" si="100"/>
        <v>2909</v>
      </c>
      <c r="AK38" s="417">
        <f t="shared" si="101"/>
        <v>45551</v>
      </c>
      <c r="AL38" s="417">
        <f t="shared" si="102"/>
        <v>8204</v>
      </c>
      <c r="AM38" s="417">
        <f t="shared" si="103"/>
        <v>4</v>
      </c>
      <c r="AN38" s="417">
        <f t="shared" si="104"/>
        <v>69</v>
      </c>
      <c r="AO38" s="417">
        <f t="shared" si="105"/>
        <v>14055</v>
      </c>
      <c r="AP38" s="417">
        <f t="shared" si="106"/>
        <v>11438</v>
      </c>
      <c r="AQ38" s="417">
        <f t="shared" si="107"/>
        <v>4157</v>
      </c>
      <c r="AR38" s="417">
        <f t="shared" si="108"/>
        <v>2</v>
      </c>
      <c r="AS38" s="417">
        <f t="shared" si="109"/>
        <v>628486</v>
      </c>
      <c r="AT38" s="417">
        <f t="shared" si="110"/>
        <v>9094</v>
      </c>
      <c r="AU38" s="417">
        <f t="shared" si="111"/>
        <v>3640</v>
      </c>
      <c r="AV38" s="417">
        <f t="shared" si="112"/>
        <v>5601</v>
      </c>
      <c r="AW38" s="417">
        <f t="shared" si="113"/>
        <v>2507</v>
      </c>
      <c r="AX38" s="417">
        <f t="shared" si="114"/>
        <v>1009</v>
      </c>
      <c r="AY38" s="417">
        <f t="shared" si="115"/>
        <v>10239</v>
      </c>
      <c r="AZ38" s="417">
        <f t="shared" si="116"/>
        <v>14192</v>
      </c>
      <c r="BA38" s="417">
        <f t="shared" si="117"/>
        <v>12505</v>
      </c>
      <c r="BB38" s="417">
        <f t="shared" si="118"/>
        <v>489862</v>
      </c>
      <c r="BC38" s="417">
        <f t="shared" si="119"/>
        <v>1430368</v>
      </c>
      <c r="BD38" s="292"/>
      <c r="BE38" s="408" t="s">
        <v>753</v>
      </c>
      <c r="BF38" s="418">
        <v>101653</v>
      </c>
      <c r="BG38" s="418">
        <v>2388</v>
      </c>
      <c r="BH38" s="418">
        <v>295</v>
      </c>
      <c r="BI38" s="418">
        <v>176</v>
      </c>
      <c r="BJ38" s="418">
        <v>707</v>
      </c>
      <c r="BK38" s="418">
        <v>1680</v>
      </c>
      <c r="BL38" s="418">
        <v>63162</v>
      </c>
      <c r="BM38" s="418">
        <v>7952</v>
      </c>
      <c r="BN38" s="418">
        <v>180</v>
      </c>
      <c r="BO38" s="418">
        <v>8573</v>
      </c>
      <c r="BP38" s="418">
        <v>1945</v>
      </c>
      <c r="BQ38" s="418">
        <v>1100</v>
      </c>
      <c r="BR38" s="418">
        <v>26</v>
      </c>
      <c r="BS38" s="418">
        <v>2596</v>
      </c>
      <c r="BT38" s="418">
        <v>2594</v>
      </c>
      <c r="BU38" s="418">
        <v>80</v>
      </c>
      <c r="BV38" s="418">
        <v>524</v>
      </c>
      <c r="BW38" s="418">
        <v>756</v>
      </c>
      <c r="BX38" s="418">
        <v>86</v>
      </c>
      <c r="BY38" s="418">
        <v>9221</v>
      </c>
      <c r="BZ38" s="418">
        <v>854</v>
      </c>
      <c r="CA38" s="418">
        <v>28</v>
      </c>
      <c r="CB38" s="418">
        <v>3373</v>
      </c>
      <c r="CC38" s="418">
        <v>605</v>
      </c>
      <c r="CD38" s="418">
        <v>952</v>
      </c>
      <c r="CE38" s="418">
        <v>632</v>
      </c>
      <c r="CF38" s="418">
        <v>167</v>
      </c>
      <c r="CG38" s="418">
        <v>91</v>
      </c>
      <c r="CH38" s="418">
        <v>682</v>
      </c>
      <c r="CI38" s="418">
        <v>24820</v>
      </c>
      <c r="CJ38" s="418">
        <v>994</v>
      </c>
      <c r="CK38" s="418">
        <v>891</v>
      </c>
      <c r="CL38" s="418">
        <v>347</v>
      </c>
      <c r="CM38" s="418">
        <v>760</v>
      </c>
      <c r="CN38" s="418">
        <v>2909</v>
      </c>
      <c r="CO38" s="418">
        <v>38105</v>
      </c>
      <c r="CP38" s="418">
        <v>8202</v>
      </c>
      <c r="CQ38" s="418">
        <v>4</v>
      </c>
      <c r="CR38" s="418">
        <v>69</v>
      </c>
      <c r="CS38" s="418">
        <v>14055</v>
      </c>
      <c r="CT38" s="418">
        <v>11438</v>
      </c>
      <c r="CU38" s="418">
        <v>4053</v>
      </c>
      <c r="CV38" s="418">
        <v>2</v>
      </c>
      <c r="CW38" s="418">
        <v>572866</v>
      </c>
      <c r="CX38" s="418">
        <v>5247</v>
      </c>
      <c r="CY38" s="418">
        <v>3638</v>
      </c>
      <c r="CZ38" s="418">
        <v>4501</v>
      </c>
      <c r="DA38" s="418">
        <v>2371</v>
      </c>
      <c r="DB38" s="418">
        <v>142</v>
      </c>
      <c r="DC38" s="418">
        <v>7808</v>
      </c>
      <c r="DD38" s="418">
        <v>14192</v>
      </c>
      <c r="DE38" s="418">
        <v>12500</v>
      </c>
      <c r="DF38" s="418">
        <v>489618</v>
      </c>
      <c r="DG38" s="418">
        <v>1292852</v>
      </c>
      <c r="DI38" s="419" t="s">
        <v>753</v>
      </c>
      <c r="DJ38" s="420">
        <v>65112</v>
      </c>
      <c r="DK38" s="420">
        <v>600</v>
      </c>
      <c r="DL38" s="420">
        <v>109</v>
      </c>
      <c r="DM38" s="420">
        <v>21</v>
      </c>
      <c r="DN38" s="420">
        <v>7</v>
      </c>
      <c r="DO38" s="420">
        <v>403</v>
      </c>
      <c r="DP38" s="420">
        <v>21100</v>
      </c>
      <c r="DQ38" s="420">
        <v>676</v>
      </c>
      <c r="DR38" s="420">
        <v>194</v>
      </c>
      <c r="DS38" s="420">
        <v>10694</v>
      </c>
      <c r="DT38" s="420">
        <v>3173</v>
      </c>
      <c r="DU38" s="420">
        <v>788</v>
      </c>
      <c r="DV38" s="420">
        <v>156</v>
      </c>
      <c r="DW38" s="420">
        <v>1406</v>
      </c>
      <c r="DX38" s="420">
        <v>585</v>
      </c>
      <c r="DY38" s="420">
        <v>23</v>
      </c>
      <c r="DZ38" s="420">
        <v>122</v>
      </c>
      <c r="EA38" s="420">
        <v>19876</v>
      </c>
      <c r="EB38" s="420">
        <v>1</v>
      </c>
      <c r="EC38" s="420">
        <v>5778</v>
      </c>
      <c r="ED38" s="420">
        <v>0</v>
      </c>
      <c r="EE38" s="420">
        <v>1</v>
      </c>
      <c r="EF38" s="420">
        <v>35</v>
      </c>
      <c r="EG38" s="420">
        <v>5</v>
      </c>
      <c r="EH38" s="420">
        <v>6873</v>
      </c>
      <c r="EI38" s="420">
        <v>70</v>
      </c>
      <c r="EJ38" s="420">
        <v>1</v>
      </c>
      <c r="EK38" s="420">
        <v>185</v>
      </c>
      <c r="EL38" s="420">
        <v>0</v>
      </c>
      <c r="EM38" s="420">
        <v>274</v>
      </c>
      <c r="EN38" s="420">
        <v>0</v>
      </c>
      <c r="EO38" s="420">
        <v>0</v>
      </c>
      <c r="EP38" s="420">
        <v>2</v>
      </c>
      <c r="EQ38" s="420">
        <v>0</v>
      </c>
      <c r="ER38" s="420">
        <v>0</v>
      </c>
      <c r="ES38" s="420">
        <v>7446</v>
      </c>
      <c r="ET38" s="420">
        <v>2</v>
      </c>
      <c r="EU38" s="420">
        <v>0</v>
      </c>
      <c r="EV38" s="420">
        <v>0</v>
      </c>
      <c r="EW38" s="420">
        <v>0</v>
      </c>
      <c r="EX38" s="420">
        <v>0</v>
      </c>
      <c r="EY38" s="420">
        <v>104</v>
      </c>
      <c r="EZ38" s="420">
        <v>0</v>
      </c>
      <c r="FA38" s="420">
        <v>55620</v>
      </c>
      <c r="FB38" s="420">
        <v>3847</v>
      </c>
      <c r="FC38" s="420">
        <v>2</v>
      </c>
      <c r="FD38" s="420">
        <v>1100</v>
      </c>
      <c r="FE38" s="420">
        <v>136</v>
      </c>
      <c r="FF38" s="420">
        <v>867</v>
      </c>
      <c r="FG38" s="420">
        <v>2431</v>
      </c>
      <c r="FH38" s="420">
        <v>0</v>
      </c>
      <c r="FI38" s="420">
        <v>5</v>
      </c>
      <c r="FJ38" s="420">
        <v>244</v>
      </c>
      <c r="FK38" s="421">
        <v>137516</v>
      </c>
    </row>
    <row r="39" spans="1:167" x14ac:dyDescent="0.35">
      <c r="A39" s="408" t="s">
        <v>754</v>
      </c>
      <c r="B39" s="417">
        <f t="shared" si="66"/>
        <v>34788</v>
      </c>
      <c r="C39" s="417">
        <f t="shared" si="67"/>
        <v>277</v>
      </c>
      <c r="D39" s="417">
        <f t="shared" si="68"/>
        <v>40</v>
      </c>
      <c r="E39" s="417">
        <f t="shared" si="69"/>
        <v>3</v>
      </c>
      <c r="F39" s="417">
        <f t="shared" si="70"/>
        <v>3</v>
      </c>
      <c r="G39" s="417">
        <f t="shared" si="71"/>
        <v>3</v>
      </c>
      <c r="H39" s="417">
        <f t="shared" si="72"/>
        <v>2029</v>
      </c>
      <c r="I39" s="417">
        <f t="shared" si="73"/>
        <v>141</v>
      </c>
      <c r="J39" s="417">
        <f t="shared" si="74"/>
        <v>28</v>
      </c>
      <c r="K39" s="417">
        <f t="shared" si="75"/>
        <v>136</v>
      </c>
      <c r="L39" s="417">
        <f t="shared" si="76"/>
        <v>12</v>
      </c>
      <c r="M39" s="417">
        <f t="shared" si="77"/>
        <v>4</v>
      </c>
      <c r="N39" s="417">
        <f t="shared" si="78"/>
        <v>20</v>
      </c>
      <c r="O39" s="417">
        <f t="shared" si="79"/>
        <v>2</v>
      </c>
      <c r="P39" s="417">
        <f t="shared" si="80"/>
        <v>407</v>
      </c>
      <c r="Q39" s="417">
        <f t="shared" si="81"/>
        <v>45</v>
      </c>
      <c r="R39" s="417">
        <f t="shared" si="82"/>
        <v>7</v>
      </c>
      <c r="S39" s="417">
        <f t="shared" si="83"/>
        <v>31119</v>
      </c>
      <c r="T39" s="417">
        <f t="shared" si="84"/>
        <v>14</v>
      </c>
      <c r="U39" s="417">
        <f t="shared" si="85"/>
        <v>775</v>
      </c>
      <c r="V39" s="417">
        <f t="shared" si="86"/>
        <v>96</v>
      </c>
      <c r="W39" s="417">
        <f t="shared" si="87"/>
        <v>6</v>
      </c>
      <c r="X39" s="417">
        <f t="shared" si="88"/>
        <v>2861</v>
      </c>
      <c r="Y39" s="417">
        <f t="shared" si="89"/>
        <v>333</v>
      </c>
      <c r="Z39" s="417">
        <f t="shared" si="90"/>
        <v>4098</v>
      </c>
      <c r="AA39" s="417">
        <f t="shared" si="91"/>
        <v>161</v>
      </c>
      <c r="AB39" s="417">
        <f t="shared" si="92"/>
        <v>56</v>
      </c>
      <c r="AC39" s="417">
        <f t="shared" si="93"/>
        <v>0</v>
      </c>
      <c r="AD39" s="417">
        <f t="shared" si="94"/>
        <v>208</v>
      </c>
      <c r="AE39" s="417">
        <f t="shared" si="95"/>
        <v>5570</v>
      </c>
      <c r="AF39" s="417">
        <f t="shared" si="96"/>
        <v>471</v>
      </c>
      <c r="AG39" s="417">
        <f t="shared" si="97"/>
        <v>56</v>
      </c>
      <c r="AH39" s="417">
        <f t="shared" si="98"/>
        <v>127</v>
      </c>
      <c r="AI39" s="417">
        <f t="shared" si="99"/>
        <v>38</v>
      </c>
      <c r="AJ39" s="417">
        <f t="shared" si="100"/>
        <v>342</v>
      </c>
      <c r="AK39" s="417">
        <f t="shared" si="101"/>
        <v>14423</v>
      </c>
      <c r="AL39" s="417">
        <f t="shared" si="102"/>
        <v>308</v>
      </c>
      <c r="AM39" s="417">
        <f t="shared" si="103"/>
        <v>8</v>
      </c>
      <c r="AN39" s="417">
        <f t="shared" si="104"/>
        <v>17</v>
      </c>
      <c r="AO39" s="417">
        <f t="shared" si="105"/>
        <v>2265</v>
      </c>
      <c r="AP39" s="417">
        <f t="shared" si="106"/>
        <v>1022</v>
      </c>
      <c r="AQ39" s="417">
        <f t="shared" si="107"/>
        <v>215</v>
      </c>
      <c r="AR39" s="417">
        <f t="shared" si="108"/>
        <v>0</v>
      </c>
      <c r="AS39" s="417">
        <f t="shared" si="109"/>
        <v>3005167</v>
      </c>
      <c r="AT39" s="417">
        <f t="shared" si="110"/>
        <v>84566</v>
      </c>
      <c r="AU39" s="417">
        <f t="shared" si="111"/>
        <v>54</v>
      </c>
      <c r="AV39" s="417">
        <f t="shared" si="112"/>
        <v>209</v>
      </c>
      <c r="AW39" s="417">
        <f t="shared" si="113"/>
        <v>4</v>
      </c>
      <c r="AX39" s="417">
        <f t="shared" si="114"/>
        <v>28</v>
      </c>
      <c r="AY39" s="417">
        <f t="shared" si="115"/>
        <v>678</v>
      </c>
      <c r="AZ39" s="417">
        <f t="shared" si="116"/>
        <v>263</v>
      </c>
      <c r="BA39" s="417">
        <f t="shared" si="117"/>
        <v>466</v>
      </c>
      <c r="BB39" s="417">
        <f t="shared" si="118"/>
        <v>57537</v>
      </c>
      <c r="BC39" s="417">
        <f t="shared" si="119"/>
        <v>3202295</v>
      </c>
      <c r="BD39" s="292"/>
      <c r="BE39" s="408" t="s">
        <v>754</v>
      </c>
      <c r="BF39" s="418">
        <v>3760</v>
      </c>
      <c r="BG39" s="418">
        <v>277</v>
      </c>
      <c r="BH39" s="418">
        <v>40</v>
      </c>
      <c r="BI39" s="418">
        <v>3</v>
      </c>
      <c r="BJ39" s="418">
        <v>3</v>
      </c>
      <c r="BK39" s="418">
        <v>3</v>
      </c>
      <c r="BL39" s="418">
        <v>2029</v>
      </c>
      <c r="BM39" s="418">
        <v>141</v>
      </c>
      <c r="BN39" s="418">
        <v>2</v>
      </c>
      <c r="BO39" s="418">
        <v>136</v>
      </c>
      <c r="BP39" s="418">
        <v>8</v>
      </c>
      <c r="BQ39" s="418">
        <v>4</v>
      </c>
      <c r="BR39" s="418">
        <v>20</v>
      </c>
      <c r="BS39" s="418">
        <v>2</v>
      </c>
      <c r="BT39" s="418">
        <v>362</v>
      </c>
      <c r="BU39" s="418">
        <v>45</v>
      </c>
      <c r="BV39" s="418">
        <v>7</v>
      </c>
      <c r="BW39" s="418">
        <v>166</v>
      </c>
      <c r="BX39" s="418">
        <v>14</v>
      </c>
      <c r="BY39" s="418">
        <v>775</v>
      </c>
      <c r="BZ39" s="418">
        <v>96</v>
      </c>
      <c r="CA39" s="418">
        <v>6</v>
      </c>
      <c r="CB39" s="418">
        <v>2861</v>
      </c>
      <c r="CC39" s="418">
        <v>333</v>
      </c>
      <c r="CD39" s="418">
        <v>75</v>
      </c>
      <c r="CE39" s="418">
        <v>161</v>
      </c>
      <c r="CF39" s="418">
        <v>56</v>
      </c>
      <c r="CG39" s="418">
        <v>0</v>
      </c>
      <c r="CH39" s="418">
        <v>208</v>
      </c>
      <c r="CI39" s="418">
        <v>5570</v>
      </c>
      <c r="CJ39" s="418">
        <v>471</v>
      </c>
      <c r="CK39" s="418">
        <v>56</v>
      </c>
      <c r="CL39" s="418">
        <v>127</v>
      </c>
      <c r="CM39" s="418">
        <v>38</v>
      </c>
      <c r="CN39" s="418">
        <v>342</v>
      </c>
      <c r="CO39" s="418">
        <v>10400</v>
      </c>
      <c r="CP39" s="418">
        <v>308</v>
      </c>
      <c r="CQ39" s="418">
        <v>8</v>
      </c>
      <c r="CR39" s="418">
        <v>17</v>
      </c>
      <c r="CS39" s="418">
        <v>2265</v>
      </c>
      <c r="CT39" s="418">
        <v>1022</v>
      </c>
      <c r="CU39" s="418">
        <v>211</v>
      </c>
      <c r="CV39" s="418">
        <v>0</v>
      </c>
      <c r="CW39" s="418">
        <v>2568369</v>
      </c>
      <c r="CX39" s="418">
        <v>50891</v>
      </c>
      <c r="CY39" s="418">
        <v>54</v>
      </c>
      <c r="CZ39" s="418">
        <v>209</v>
      </c>
      <c r="DA39" s="418">
        <v>4</v>
      </c>
      <c r="DB39" s="418">
        <v>11</v>
      </c>
      <c r="DC39" s="418">
        <v>678</v>
      </c>
      <c r="DD39" s="418">
        <v>263</v>
      </c>
      <c r="DE39" s="418">
        <v>451</v>
      </c>
      <c r="DF39" s="418">
        <v>57530</v>
      </c>
      <c r="DG39" s="418">
        <v>2696728</v>
      </c>
      <c r="DI39" s="419" t="s">
        <v>754</v>
      </c>
      <c r="DJ39" s="420">
        <v>31028</v>
      </c>
      <c r="DK39" s="420">
        <v>0</v>
      </c>
      <c r="DL39" s="420">
        <v>0</v>
      </c>
      <c r="DM39" s="420">
        <v>0</v>
      </c>
      <c r="DN39" s="420">
        <v>0</v>
      </c>
      <c r="DO39" s="420">
        <v>0</v>
      </c>
      <c r="DP39" s="420">
        <v>0</v>
      </c>
      <c r="DQ39" s="420">
        <v>0</v>
      </c>
      <c r="DR39" s="420">
        <v>26</v>
      </c>
      <c r="DS39" s="420">
        <v>0</v>
      </c>
      <c r="DT39" s="420">
        <v>4</v>
      </c>
      <c r="DU39" s="420">
        <v>0</v>
      </c>
      <c r="DV39" s="420">
        <v>0</v>
      </c>
      <c r="DW39" s="420">
        <v>0</v>
      </c>
      <c r="DX39" s="420">
        <v>45</v>
      </c>
      <c r="DY39" s="420">
        <v>0</v>
      </c>
      <c r="DZ39" s="420">
        <v>0</v>
      </c>
      <c r="EA39" s="420">
        <v>30953</v>
      </c>
      <c r="EB39" s="420">
        <v>0</v>
      </c>
      <c r="EC39" s="420">
        <v>0</v>
      </c>
      <c r="ED39" s="420">
        <v>0</v>
      </c>
      <c r="EE39" s="420">
        <v>0</v>
      </c>
      <c r="EF39" s="420">
        <v>0</v>
      </c>
      <c r="EG39" s="420">
        <v>0</v>
      </c>
      <c r="EH39" s="420">
        <v>4023</v>
      </c>
      <c r="EI39" s="420">
        <v>0</v>
      </c>
      <c r="EJ39" s="420">
        <v>0</v>
      </c>
      <c r="EK39" s="420">
        <v>0</v>
      </c>
      <c r="EL39" s="420">
        <v>0</v>
      </c>
      <c r="EM39" s="420">
        <v>0</v>
      </c>
      <c r="EN39" s="420">
        <v>0</v>
      </c>
      <c r="EO39" s="420">
        <v>0</v>
      </c>
      <c r="EP39" s="420">
        <v>0</v>
      </c>
      <c r="EQ39" s="420">
        <v>0</v>
      </c>
      <c r="ER39" s="420">
        <v>0</v>
      </c>
      <c r="ES39" s="420">
        <v>4023</v>
      </c>
      <c r="ET39" s="420">
        <v>0</v>
      </c>
      <c r="EU39" s="420">
        <v>0</v>
      </c>
      <c r="EV39" s="420">
        <v>0</v>
      </c>
      <c r="EW39" s="420">
        <v>0</v>
      </c>
      <c r="EX39" s="420">
        <v>0</v>
      </c>
      <c r="EY39" s="420">
        <v>4</v>
      </c>
      <c r="EZ39" s="420">
        <v>0</v>
      </c>
      <c r="FA39" s="420">
        <v>436798</v>
      </c>
      <c r="FB39" s="420">
        <v>33675</v>
      </c>
      <c r="FC39" s="420">
        <v>0</v>
      </c>
      <c r="FD39" s="420">
        <v>0</v>
      </c>
      <c r="FE39" s="420">
        <v>0</v>
      </c>
      <c r="FF39" s="420">
        <v>17</v>
      </c>
      <c r="FG39" s="420">
        <v>0</v>
      </c>
      <c r="FH39" s="420">
        <v>0</v>
      </c>
      <c r="FI39" s="420">
        <v>15</v>
      </c>
      <c r="FJ39" s="420">
        <v>7</v>
      </c>
      <c r="FK39" s="421">
        <v>505567</v>
      </c>
    </row>
    <row r="40" spans="1:167" x14ac:dyDescent="0.35">
      <c r="A40" s="408" t="s">
        <v>755</v>
      </c>
      <c r="B40" s="417">
        <f t="shared" si="66"/>
        <v>124684</v>
      </c>
      <c r="C40" s="417">
        <f t="shared" si="67"/>
        <v>8852</v>
      </c>
      <c r="D40" s="417">
        <f t="shared" si="68"/>
        <v>5457</v>
      </c>
      <c r="E40" s="417">
        <f t="shared" si="69"/>
        <v>673</v>
      </c>
      <c r="F40" s="417">
        <f t="shared" si="70"/>
        <v>1130</v>
      </c>
      <c r="G40" s="417">
        <f t="shared" si="71"/>
        <v>1164</v>
      </c>
      <c r="H40" s="417">
        <f t="shared" si="72"/>
        <v>4851</v>
      </c>
      <c r="I40" s="417">
        <f t="shared" si="73"/>
        <v>2067</v>
      </c>
      <c r="J40" s="417">
        <f t="shared" si="74"/>
        <v>202</v>
      </c>
      <c r="K40" s="417">
        <f t="shared" si="75"/>
        <v>2868</v>
      </c>
      <c r="L40" s="417">
        <f t="shared" si="76"/>
        <v>4655</v>
      </c>
      <c r="M40" s="417">
        <f t="shared" si="77"/>
        <v>2716</v>
      </c>
      <c r="N40" s="417">
        <f t="shared" si="78"/>
        <v>736</v>
      </c>
      <c r="O40" s="417">
        <f t="shared" si="79"/>
        <v>292</v>
      </c>
      <c r="P40" s="417">
        <f t="shared" si="80"/>
        <v>10777</v>
      </c>
      <c r="Q40" s="417">
        <f t="shared" si="81"/>
        <v>608</v>
      </c>
      <c r="R40" s="417">
        <f t="shared" si="82"/>
        <v>3108</v>
      </c>
      <c r="S40" s="417">
        <f t="shared" si="83"/>
        <v>71247</v>
      </c>
      <c r="T40" s="417">
        <f t="shared" si="84"/>
        <v>507</v>
      </c>
      <c r="U40" s="417">
        <f t="shared" si="85"/>
        <v>11626</v>
      </c>
      <c r="V40" s="417">
        <f t="shared" si="86"/>
        <v>1775</v>
      </c>
      <c r="W40" s="417">
        <f t="shared" si="87"/>
        <v>196</v>
      </c>
      <c r="X40" s="417">
        <f t="shared" si="88"/>
        <v>6481</v>
      </c>
      <c r="Y40" s="417">
        <f t="shared" si="89"/>
        <v>4251</v>
      </c>
      <c r="Z40" s="417">
        <f t="shared" si="90"/>
        <v>9548</v>
      </c>
      <c r="AA40" s="417">
        <f t="shared" si="91"/>
        <v>745</v>
      </c>
      <c r="AB40" s="417">
        <f t="shared" si="92"/>
        <v>219</v>
      </c>
      <c r="AC40" s="417">
        <f t="shared" si="93"/>
        <v>138</v>
      </c>
      <c r="AD40" s="417">
        <f t="shared" si="94"/>
        <v>5575</v>
      </c>
      <c r="AE40" s="417">
        <f t="shared" si="95"/>
        <v>4740</v>
      </c>
      <c r="AF40" s="417">
        <f t="shared" si="96"/>
        <v>1652</v>
      </c>
      <c r="AG40" s="417">
        <f t="shared" si="97"/>
        <v>1228</v>
      </c>
      <c r="AH40" s="417">
        <f t="shared" si="98"/>
        <v>225</v>
      </c>
      <c r="AI40" s="417">
        <f t="shared" si="99"/>
        <v>897</v>
      </c>
      <c r="AJ40" s="417">
        <f t="shared" si="100"/>
        <v>2214</v>
      </c>
      <c r="AK40" s="417">
        <f t="shared" si="101"/>
        <v>39884</v>
      </c>
      <c r="AL40" s="417">
        <f t="shared" si="102"/>
        <v>5565</v>
      </c>
      <c r="AM40" s="417">
        <f t="shared" si="103"/>
        <v>428</v>
      </c>
      <c r="AN40" s="417">
        <f t="shared" si="104"/>
        <v>718</v>
      </c>
      <c r="AO40" s="417">
        <f t="shared" si="105"/>
        <v>3233</v>
      </c>
      <c r="AP40" s="417">
        <f t="shared" si="106"/>
        <v>937</v>
      </c>
      <c r="AQ40" s="417">
        <f t="shared" si="107"/>
        <v>2948</v>
      </c>
      <c r="AR40" s="417">
        <f t="shared" si="108"/>
        <v>370</v>
      </c>
      <c r="AS40" s="417">
        <f t="shared" si="109"/>
        <v>66539</v>
      </c>
      <c r="AT40" s="417">
        <f t="shared" si="110"/>
        <v>90760</v>
      </c>
      <c r="AU40" s="417">
        <f t="shared" si="111"/>
        <v>16427</v>
      </c>
      <c r="AV40" s="417">
        <f t="shared" si="112"/>
        <v>4118</v>
      </c>
      <c r="AW40" s="417">
        <f t="shared" si="113"/>
        <v>1102</v>
      </c>
      <c r="AX40" s="417">
        <f t="shared" si="114"/>
        <v>2384</v>
      </c>
      <c r="AY40" s="417">
        <f t="shared" si="115"/>
        <v>67927</v>
      </c>
      <c r="AZ40" s="417">
        <f t="shared" si="116"/>
        <v>1293</v>
      </c>
      <c r="BA40" s="417">
        <f t="shared" si="117"/>
        <v>2921</v>
      </c>
      <c r="BB40" s="417">
        <f t="shared" si="118"/>
        <v>480726</v>
      </c>
      <c r="BC40" s="417">
        <f t="shared" si="119"/>
        <v>921816</v>
      </c>
      <c r="BD40" s="292"/>
      <c r="BE40" s="408" t="s">
        <v>755</v>
      </c>
      <c r="BF40" s="418">
        <v>47455</v>
      </c>
      <c r="BG40" s="418">
        <v>7960</v>
      </c>
      <c r="BH40" s="418">
        <v>4224</v>
      </c>
      <c r="BI40" s="418">
        <v>643</v>
      </c>
      <c r="BJ40" s="418">
        <v>1047</v>
      </c>
      <c r="BK40" s="418">
        <v>1162</v>
      </c>
      <c r="BL40" s="418">
        <v>4655</v>
      </c>
      <c r="BM40" s="418">
        <v>1854</v>
      </c>
      <c r="BN40" s="418">
        <v>125</v>
      </c>
      <c r="BO40" s="418">
        <v>2367</v>
      </c>
      <c r="BP40" s="418">
        <v>3021</v>
      </c>
      <c r="BQ40" s="418">
        <v>2294</v>
      </c>
      <c r="BR40" s="418">
        <v>591</v>
      </c>
      <c r="BS40" s="418">
        <v>266</v>
      </c>
      <c r="BT40" s="418">
        <v>9395</v>
      </c>
      <c r="BU40" s="418">
        <v>532</v>
      </c>
      <c r="BV40" s="418">
        <v>2814</v>
      </c>
      <c r="BW40" s="418">
        <v>3351</v>
      </c>
      <c r="BX40" s="418">
        <v>464</v>
      </c>
      <c r="BY40" s="418">
        <v>8650</v>
      </c>
      <c r="BZ40" s="418">
        <v>1775</v>
      </c>
      <c r="CA40" s="418">
        <v>183</v>
      </c>
      <c r="CB40" s="418">
        <v>6162</v>
      </c>
      <c r="CC40" s="418">
        <v>2778</v>
      </c>
      <c r="CD40" s="418">
        <v>1831</v>
      </c>
      <c r="CE40" s="418">
        <v>733</v>
      </c>
      <c r="CF40" s="418">
        <v>206</v>
      </c>
      <c r="CG40" s="418">
        <v>108</v>
      </c>
      <c r="CH40" s="418">
        <v>5575</v>
      </c>
      <c r="CI40" s="418">
        <v>4664</v>
      </c>
      <c r="CJ40" s="418">
        <v>1640</v>
      </c>
      <c r="CK40" s="418">
        <v>1228</v>
      </c>
      <c r="CL40" s="418">
        <v>224</v>
      </c>
      <c r="CM40" s="418">
        <v>897</v>
      </c>
      <c r="CN40" s="418">
        <v>2204</v>
      </c>
      <c r="CO40" s="418">
        <v>30208</v>
      </c>
      <c r="CP40" s="418">
        <v>5560</v>
      </c>
      <c r="CQ40" s="418">
        <v>428</v>
      </c>
      <c r="CR40" s="418">
        <v>715</v>
      </c>
      <c r="CS40" s="418">
        <v>3233</v>
      </c>
      <c r="CT40" s="418">
        <v>937</v>
      </c>
      <c r="CU40" s="418">
        <v>2336</v>
      </c>
      <c r="CV40" s="418">
        <v>368</v>
      </c>
      <c r="CW40" s="418">
        <v>56495</v>
      </c>
      <c r="CX40" s="418">
        <v>74662</v>
      </c>
      <c r="CY40" s="418">
        <v>16296</v>
      </c>
      <c r="CZ40" s="418">
        <v>2652</v>
      </c>
      <c r="DA40" s="418">
        <v>1102</v>
      </c>
      <c r="DB40" s="418">
        <v>1505</v>
      </c>
      <c r="DC40" s="418">
        <v>61035</v>
      </c>
      <c r="DD40" s="418">
        <v>1293</v>
      </c>
      <c r="DE40" s="418">
        <v>2895</v>
      </c>
      <c r="DF40" s="418">
        <v>480503</v>
      </c>
      <c r="DG40" s="418">
        <v>797638</v>
      </c>
      <c r="DI40" s="419" t="s">
        <v>755</v>
      </c>
      <c r="DJ40" s="420">
        <v>77229</v>
      </c>
      <c r="DK40" s="420">
        <v>892</v>
      </c>
      <c r="DL40" s="420">
        <v>1233</v>
      </c>
      <c r="DM40" s="420">
        <v>30</v>
      </c>
      <c r="DN40" s="420">
        <v>83</v>
      </c>
      <c r="DO40" s="420">
        <v>2</v>
      </c>
      <c r="DP40" s="420">
        <v>196</v>
      </c>
      <c r="DQ40" s="420">
        <v>213</v>
      </c>
      <c r="DR40" s="420">
        <v>77</v>
      </c>
      <c r="DS40" s="420">
        <v>501</v>
      </c>
      <c r="DT40" s="420">
        <v>1634</v>
      </c>
      <c r="DU40" s="420">
        <v>422</v>
      </c>
      <c r="DV40" s="420">
        <v>145</v>
      </c>
      <c r="DW40" s="420">
        <v>26</v>
      </c>
      <c r="DX40" s="420">
        <v>1382</v>
      </c>
      <c r="DY40" s="420">
        <v>76</v>
      </c>
      <c r="DZ40" s="420">
        <v>294</v>
      </c>
      <c r="EA40" s="420">
        <v>67896</v>
      </c>
      <c r="EB40" s="420">
        <v>43</v>
      </c>
      <c r="EC40" s="420">
        <v>2976</v>
      </c>
      <c r="ED40" s="420">
        <v>0</v>
      </c>
      <c r="EE40" s="420">
        <v>13</v>
      </c>
      <c r="EF40" s="420">
        <v>319</v>
      </c>
      <c r="EG40" s="420">
        <v>1473</v>
      </c>
      <c r="EH40" s="420">
        <v>7717</v>
      </c>
      <c r="EI40" s="420">
        <v>12</v>
      </c>
      <c r="EJ40" s="420">
        <v>13</v>
      </c>
      <c r="EK40" s="420">
        <v>30</v>
      </c>
      <c r="EL40" s="420">
        <v>0</v>
      </c>
      <c r="EM40" s="420">
        <v>76</v>
      </c>
      <c r="EN40" s="420">
        <v>12</v>
      </c>
      <c r="EO40" s="420">
        <v>0</v>
      </c>
      <c r="EP40" s="420">
        <v>1</v>
      </c>
      <c r="EQ40" s="420">
        <v>0</v>
      </c>
      <c r="ER40" s="420">
        <v>10</v>
      </c>
      <c r="ES40" s="420">
        <v>9676</v>
      </c>
      <c r="ET40" s="420">
        <v>5</v>
      </c>
      <c r="EU40" s="420">
        <v>0</v>
      </c>
      <c r="EV40" s="420">
        <v>3</v>
      </c>
      <c r="EW40" s="420">
        <v>0</v>
      </c>
      <c r="EX40" s="420">
        <v>0</v>
      </c>
      <c r="EY40" s="420">
        <v>612</v>
      </c>
      <c r="EZ40" s="420">
        <v>2</v>
      </c>
      <c r="FA40" s="420">
        <v>10044</v>
      </c>
      <c r="FB40" s="420">
        <v>16098</v>
      </c>
      <c r="FC40" s="420">
        <v>131</v>
      </c>
      <c r="FD40" s="420">
        <v>1466</v>
      </c>
      <c r="FE40" s="420">
        <v>0</v>
      </c>
      <c r="FF40" s="420">
        <v>879</v>
      </c>
      <c r="FG40" s="420">
        <v>6892</v>
      </c>
      <c r="FH40" s="420">
        <v>0</v>
      </c>
      <c r="FI40" s="420">
        <v>26</v>
      </c>
      <c r="FJ40" s="420">
        <v>223</v>
      </c>
      <c r="FK40" s="421">
        <v>124178</v>
      </c>
    </row>
    <row r="41" spans="1:167" x14ac:dyDescent="0.35">
      <c r="A41" s="408" t="s">
        <v>756</v>
      </c>
      <c r="B41" s="417">
        <f t="shared" si="66"/>
        <v>15390304</v>
      </c>
      <c r="C41" s="417">
        <f t="shared" si="67"/>
        <v>119229</v>
      </c>
      <c r="D41" s="417">
        <f t="shared" si="68"/>
        <v>265253</v>
      </c>
      <c r="E41" s="417">
        <f t="shared" si="69"/>
        <v>73873</v>
      </c>
      <c r="F41" s="417">
        <f t="shared" si="70"/>
        <v>104983</v>
      </c>
      <c r="G41" s="417">
        <f t="shared" si="71"/>
        <v>135404</v>
      </c>
      <c r="H41" s="417">
        <f t="shared" si="72"/>
        <v>1056942</v>
      </c>
      <c r="I41" s="417">
        <f t="shared" si="73"/>
        <v>213416</v>
      </c>
      <c r="J41" s="417">
        <f t="shared" si="74"/>
        <v>144428</v>
      </c>
      <c r="K41" s="417">
        <f t="shared" si="75"/>
        <v>414806</v>
      </c>
      <c r="L41" s="417">
        <f t="shared" si="76"/>
        <v>398747</v>
      </c>
      <c r="M41" s="417">
        <f t="shared" si="77"/>
        <v>569280</v>
      </c>
      <c r="N41" s="417">
        <f t="shared" si="78"/>
        <v>107964</v>
      </c>
      <c r="O41" s="417">
        <f t="shared" si="79"/>
        <v>56282</v>
      </c>
      <c r="P41" s="417">
        <f t="shared" si="80"/>
        <v>1050860</v>
      </c>
      <c r="Q41" s="417">
        <f t="shared" si="81"/>
        <v>336299</v>
      </c>
      <c r="R41" s="417">
        <f t="shared" si="82"/>
        <v>451916</v>
      </c>
      <c r="S41" s="417">
        <f t="shared" si="83"/>
        <v>9015753</v>
      </c>
      <c r="T41" s="417">
        <f t="shared" si="84"/>
        <v>65327</v>
      </c>
      <c r="U41" s="417">
        <f t="shared" si="85"/>
        <v>928771</v>
      </c>
      <c r="V41" s="417">
        <f t="shared" si="86"/>
        <v>317200</v>
      </c>
      <c r="W41" s="417">
        <f t="shared" si="87"/>
        <v>9468</v>
      </c>
      <c r="X41" s="417">
        <f t="shared" si="88"/>
        <v>274510</v>
      </c>
      <c r="Y41" s="417">
        <f t="shared" si="89"/>
        <v>55828</v>
      </c>
      <c r="Z41" s="417">
        <f t="shared" si="90"/>
        <v>1068004</v>
      </c>
      <c r="AA41" s="417">
        <f t="shared" si="91"/>
        <v>60864</v>
      </c>
      <c r="AB41" s="417">
        <f t="shared" si="92"/>
        <v>23812</v>
      </c>
      <c r="AC41" s="417">
        <f t="shared" si="93"/>
        <v>10076</v>
      </c>
      <c r="AD41" s="417">
        <f t="shared" si="94"/>
        <v>24905</v>
      </c>
      <c r="AE41" s="417">
        <f t="shared" si="95"/>
        <v>146106</v>
      </c>
      <c r="AF41" s="417">
        <f t="shared" si="96"/>
        <v>49861</v>
      </c>
      <c r="AG41" s="417">
        <f t="shared" si="97"/>
        <v>17209</v>
      </c>
      <c r="AH41" s="417">
        <f t="shared" si="98"/>
        <v>13294</v>
      </c>
      <c r="AI41" s="417">
        <f t="shared" si="99"/>
        <v>11647</v>
      </c>
      <c r="AJ41" s="417">
        <f t="shared" si="100"/>
        <v>18400</v>
      </c>
      <c r="AK41" s="417">
        <f t="shared" si="101"/>
        <v>2101184</v>
      </c>
      <c r="AL41" s="417">
        <f t="shared" si="102"/>
        <v>78306</v>
      </c>
      <c r="AM41" s="417">
        <f t="shared" si="103"/>
        <v>86834</v>
      </c>
      <c r="AN41" s="417">
        <f t="shared" si="104"/>
        <v>24254</v>
      </c>
      <c r="AO41" s="417">
        <f t="shared" si="105"/>
        <v>144750</v>
      </c>
      <c r="AP41" s="417">
        <f t="shared" si="106"/>
        <v>88251</v>
      </c>
      <c r="AQ41" s="417">
        <f t="shared" si="107"/>
        <v>302376</v>
      </c>
      <c r="AR41" s="417">
        <f t="shared" si="108"/>
        <v>170384</v>
      </c>
      <c r="AS41" s="417">
        <f t="shared" si="109"/>
        <v>3912752</v>
      </c>
      <c r="AT41" s="417">
        <f t="shared" si="110"/>
        <v>2883517</v>
      </c>
      <c r="AU41" s="417">
        <f t="shared" si="111"/>
        <v>97283</v>
      </c>
      <c r="AV41" s="417">
        <f t="shared" si="112"/>
        <v>873080</v>
      </c>
      <c r="AW41" s="417">
        <f t="shared" si="113"/>
        <v>62016</v>
      </c>
      <c r="AX41" s="417">
        <f t="shared" si="114"/>
        <v>156909</v>
      </c>
      <c r="AY41" s="417">
        <f t="shared" si="115"/>
        <v>1181319</v>
      </c>
      <c r="AZ41" s="417">
        <f t="shared" si="116"/>
        <v>19234</v>
      </c>
      <c r="BA41" s="417">
        <f t="shared" si="117"/>
        <v>73604</v>
      </c>
      <c r="BB41" s="417">
        <f t="shared" si="118"/>
        <v>1232636</v>
      </c>
      <c r="BC41" s="417">
        <f t="shared" si="119"/>
        <v>28998222</v>
      </c>
      <c r="BD41" s="292"/>
      <c r="BE41" s="408" t="s">
        <v>756</v>
      </c>
      <c r="BF41" s="418">
        <v>2581005</v>
      </c>
      <c r="BG41" s="418">
        <v>56036</v>
      </c>
      <c r="BH41" s="418">
        <v>104008</v>
      </c>
      <c r="BI41" s="418">
        <v>25555</v>
      </c>
      <c r="BJ41" s="418">
        <v>41368</v>
      </c>
      <c r="BK41" s="418">
        <v>98158</v>
      </c>
      <c r="BL41" s="418">
        <v>483290</v>
      </c>
      <c r="BM41" s="418">
        <v>67739</v>
      </c>
      <c r="BN41" s="418">
        <v>10671</v>
      </c>
      <c r="BO41" s="418">
        <v>82786</v>
      </c>
      <c r="BP41" s="418">
        <v>86242</v>
      </c>
      <c r="BQ41" s="418">
        <v>230323</v>
      </c>
      <c r="BR41" s="418">
        <v>64148</v>
      </c>
      <c r="BS41" s="418">
        <v>17548</v>
      </c>
      <c r="BT41" s="418">
        <v>386488</v>
      </c>
      <c r="BU41" s="418">
        <v>170614</v>
      </c>
      <c r="BV41" s="418">
        <v>169157</v>
      </c>
      <c r="BW41" s="418">
        <v>218812</v>
      </c>
      <c r="BX41" s="418">
        <v>43954</v>
      </c>
      <c r="BY41" s="418">
        <v>280144</v>
      </c>
      <c r="BZ41" s="418">
        <v>317200</v>
      </c>
      <c r="CA41" s="418">
        <v>9283</v>
      </c>
      <c r="CB41" s="418">
        <v>261485</v>
      </c>
      <c r="CC41" s="418">
        <v>24784</v>
      </c>
      <c r="CD41" s="418">
        <v>33292</v>
      </c>
      <c r="CE41" s="418">
        <v>47874</v>
      </c>
      <c r="CF41" s="418">
        <v>19246</v>
      </c>
      <c r="CG41" s="418">
        <v>2335</v>
      </c>
      <c r="CH41" s="418">
        <v>24905</v>
      </c>
      <c r="CI41" s="418">
        <v>139879</v>
      </c>
      <c r="CJ41" s="418">
        <v>44537</v>
      </c>
      <c r="CK41" s="418">
        <v>17209</v>
      </c>
      <c r="CL41" s="418">
        <v>10186</v>
      </c>
      <c r="CM41" s="418">
        <v>11647</v>
      </c>
      <c r="CN41" s="418">
        <v>17215</v>
      </c>
      <c r="CO41" s="418">
        <v>981077</v>
      </c>
      <c r="CP41" s="418">
        <v>65580</v>
      </c>
      <c r="CQ41" s="418">
        <v>86603</v>
      </c>
      <c r="CR41" s="418">
        <v>23162</v>
      </c>
      <c r="CS41" s="418">
        <v>144750</v>
      </c>
      <c r="CT41" s="418">
        <v>88251</v>
      </c>
      <c r="CU41" s="418">
        <v>247486</v>
      </c>
      <c r="CV41" s="418">
        <v>166739</v>
      </c>
      <c r="CW41" s="418">
        <v>3382457</v>
      </c>
      <c r="CX41" s="418">
        <v>1649377</v>
      </c>
      <c r="CY41" s="418">
        <v>87297</v>
      </c>
      <c r="CZ41" s="418">
        <v>600366</v>
      </c>
      <c r="DA41" s="418">
        <v>51959</v>
      </c>
      <c r="DB41" s="418">
        <v>34698</v>
      </c>
      <c r="DC41" s="418">
        <v>453302</v>
      </c>
      <c r="DD41" s="418">
        <v>19234</v>
      </c>
      <c r="DE41" s="418">
        <v>72297</v>
      </c>
      <c r="DF41" s="418">
        <v>1205658</v>
      </c>
      <c r="DG41" s="418">
        <v>11997334</v>
      </c>
      <c r="DI41" s="419" t="s">
        <v>756</v>
      </c>
      <c r="DJ41" s="420">
        <v>12809299</v>
      </c>
      <c r="DK41" s="420">
        <v>63193</v>
      </c>
      <c r="DL41" s="420">
        <v>161245</v>
      </c>
      <c r="DM41" s="420">
        <v>48318</v>
      </c>
      <c r="DN41" s="420">
        <v>63615</v>
      </c>
      <c r="DO41" s="420">
        <v>37246</v>
      </c>
      <c r="DP41" s="420">
        <v>573652</v>
      </c>
      <c r="DQ41" s="420">
        <v>145677</v>
      </c>
      <c r="DR41" s="420">
        <v>133757</v>
      </c>
      <c r="DS41" s="420">
        <v>332020</v>
      </c>
      <c r="DT41" s="420">
        <v>312505</v>
      </c>
      <c r="DU41" s="420">
        <v>338957</v>
      </c>
      <c r="DV41" s="420">
        <v>43816</v>
      </c>
      <c r="DW41" s="420">
        <v>38734</v>
      </c>
      <c r="DX41" s="420">
        <v>664372</v>
      </c>
      <c r="DY41" s="420">
        <v>165685</v>
      </c>
      <c r="DZ41" s="420">
        <v>282759</v>
      </c>
      <c r="EA41" s="420">
        <v>8796941</v>
      </c>
      <c r="EB41" s="420">
        <v>21373</v>
      </c>
      <c r="EC41" s="420">
        <v>648627</v>
      </c>
      <c r="ED41" s="420">
        <v>0</v>
      </c>
      <c r="EE41" s="420">
        <v>185</v>
      </c>
      <c r="EF41" s="420">
        <v>13025</v>
      </c>
      <c r="EG41" s="420">
        <v>31044</v>
      </c>
      <c r="EH41" s="420">
        <v>1034712</v>
      </c>
      <c r="EI41" s="420">
        <v>12990</v>
      </c>
      <c r="EJ41" s="420">
        <v>4566</v>
      </c>
      <c r="EK41" s="420">
        <v>7741</v>
      </c>
      <c r="EL41" s="420">
        <v>0</v>
      </c>
      <c r="EM41" s="420">
        <v>6227</v>
      </c>
      <c r="EN41" s="420">
        <v>5324</v>
      </c>
      <c r="EO41" s="420">
        <v>0</v>
      </c>
      <c r="EP41" s="420">
        <v>3108</v>
      </c>
      <c r="EQ41" s="420">
        <v>0</v>
      </c>
      <c r="ER41" s="420">
        <v>1185</v>
      </c>
      <c r="ES41" s="420">
        <v>1120107</v>
      </c>
      <c r="ET41" s="420">
        <v>12726</v>
      </c>
      <c r="EU41" s="420">
        <v>231</v>
      </c>
      <c r="EV41" s="420">
        <v>1092</v>
      </c>
      <c r="EW41" s="420">
        <v>0</v>
      </c>
      <c r="EX41" s="420">
        <v>0</v>
      </c>
      <c r="EY41" s="420">
        <v>54890</v>
      </c>
      <c r="EZ41" s="420">
        <v>3645</v>
      </c>
      <c r="FA41" s="420">
        <v>530295</v>
      </c>
      <c r="FB41" s="420">
        <v>1234140</v>
      </c>
      <c r="FC41" s="420">
        <v>9986</v>
      </c>
      <c r="FD41" s="420">
        <v>272714</v>
      </c>
      <c r="FE41" s="420">
        <v>10057</v>
      </c>
      <c r="FF41" s="420">
        <v>122211</v>
      </c>
      <c r="FG41" s="420">
        <v>728017</v>
      </c>
      <c r="FH41" s="420">
        <v>0</v>
      </c>
      <c r="FI41" s="420">
        <v>1307</v>
      </c>
      <c r="FJ41" s="420">
        <v>26978</v>
      </c>
      <c r="FK41" s="421">
        <v>17000888</v>
      </c>
    </row>
    <row r="42" spans="1:167" x14ac:dyDescent="0.35">
      <c r="A42" s="408" t="s">
        <v>757</v>
      </c>
      <c r="B42" s="417">
        <f t="shared" si="66"/>
        <v>293686</v>
      </c>
      <c r="C42" s="417">
        <f t="shared" si="67"/>
        <v>21703</v>
      </c>
      <c r="D42" s="417">
        <f t="shared" si="68"/>
        <v>2765</v>
      </c>
      <c r="E42" s="417">
        <f t="shared" si="69"/>
        <v>715</v>
      </c>
      <c r="F42" s="417">
        <f t="shared" si="70"/>
        <v>895</v>
      </c>
      <c r="G42" s="417">
        <f t="shared" si="71"/>
        <v>1139</v>
      </c>
      <c r="H42" s="417">
        <f t="shared" si="72"/>
        <v>7094</v>
      </c>
      <c r="I42" s="417">
        <f t="shared" si="73"/>
        <v>3067</v>
      </c>
      <c r="J42" s="417">
        <f t="shared" si="74"/>
        <v>6188</v>
      </c>
      <c r="K42" s="417">
        <f t="shared" si="75"/>
        <v>1761</v>
      </c>
      <c r="L42" s="417">
        <f t="shared" si="76"/>
        <v>4250</v>
      </c>
      <c r="M42" s="417">
        <f t="shared" si="77"/>
        <v>8120</v>
      </c>
      <c r="N42" s="417">
        <f t="shared" si="78"/>
        <v>3460</v>
      </c>
      <c r="O42" s="417">
        <f t="shared" si="79"/>
        <v>250</v>
      </c>
      <c r="P42" s="417">
        <f t="shared" si="80"/>
        <v>78125</v>
      </c>
      <c r="Q42" s="417">
        <f t="shared" si="81"/>
        <v>1642</v>
      </c>
      <c r="R42" s="417">
        <f t="shared" si="82"/>
        <v>4507</v>
      </c>
      <c r="S42" s="417">
        <f t="shared" si="83"/>
        <v>159012</v>
      </c>
      <c r="T42" s="417">
        <f t="shared" si="84"/>
        <v>1431</v>
      </c>
      <c r="U42" s="417">
        <f t="shared" si="85"/>
        <v>9265</v>
      </c>
      <c r="V42" s="417">
        <f t="shared" si="86"/>
        <v>2165</v>
      </c>
      <c r="W42" s="417">
        <f t="shared" si="87"/>
        <v>417</v>
      </c>
      <c r="X42" s="417">
        <f t="shared" si="88"/>
        <v>8609</v>
      </c>
      <c r="Y42" s="417">
        <f t="shared" si="89"/>
        <v>1428</v>
      </c>
      <c r="Z42" s="417">
        <f t="shared" si="90"/>
        <v>17364</v>
      </c>
      <c r="AA42" s="417">
        <f t="shared" si="91"/>
        <v>2051</v>
      </c>
      <c r="AB42" s="417">
        <f t="shared" si="92"/>
        <v>576</v>
      </c>
      <c r="AC42" s="417">
        <f t="shared" si="93"/>
        <v>490</v>
      </c>
      <c r="AD42" s="417">
        <f t="shared" si="94"/>
        <v>488</v>
      </c>
      <c r="AE42" s="417">
        <f t="shared" si="95"/>
        <v>24320</v>
      </c>
      <c r="AF42" s="417">
        <f t="shared" si="96"/>
        <v>2088</v>
      </c>
      <c r="AG42" s="417">
        <f t="shared" si="97"/>
        <v>422</v>
      </c>
      <c r="AH42" s="417">
        <f t="shared" si="98"/>
        <v>476</v>
      </c>
      <c r="AI42" s="417">
        <f t="shared" si="99"/>
        <v>579</v>
      </c>
      <c r="AJ42" s="417">
        <f t="shared" si="100"/>
        <v>1002</v>
      </c>
      <c r="AK42" s="417">
        <f t="shared" si="101"/>
        <v>62475</v>
      </c>
      <c r="AL42" s="417">
        <f t="shared" si="102"/>
        <v>15433</v>
      </c>
      <c r="AM42" s="417">
        <f t="shared" si="103"/>
        <v>3238</v>
      </c>
      <c r="AN42" s="417">
        <f t="shared" si="104"/>
        <v>5796</v>
      </c>
      <c r="AO42" s="417">
        <f t="shared" si="105"/>
        <v>70038</v>
      </c>
      <c r="AP42" s="417">
        <f t="shared" si="106"/>
        <v>49662</v>
      </c>
      <c r="AQ42" s="417">
        <f t="shared" si="107"/>
        <v>14177</v>
      </c>
      <c r="AR42" s="417">
        <f t="shared" si="108"/>
        <v>73</v>
      </c>
      <c r="AS42" s="417">
        <f t="shared" si="109"/>
        <v>3158211</v>
      </c>
      <c r="AT42" s="417">
        <f t="shared" si="110"/>
        <v>2262210</v>
      </c>
      <c r="AU42" s="417">
        <f t="shared" si="111"/>
        <v>3364</v>
      </c>
      <c r="AV42" s="417">
        <f t="shared" si="112"/>
        <v>35497</v>
      </c>
      <c r="AW42" s="417">
        <f t="shared" si="113"/>
        <v>8339</v>
      </c>
      <c r="AX42" s="417">
        <f t="shared" si="114"/>
        <v>2449</v>
      </c>
      <c r="AY42" s="417">
        <f t="shared" si="115"/>
        <v>11930</v>
      </c>
      <c r="AZ42" s="417">
        <f t="shared" si="116"/>
        <v>597</v>
      </c>
      <c r="BA42" s="417">
        <f t="shared" si="117"/>
        <v>6660</v>
      </c>
      <c r="BB42" s="417">
        <f t="shared" si="118"/>
        <v>64878</v>
      </c>
      <c r="BC42" s="417">
        <f t="shared" si="119"/>
        <v>6090416</v>
      </c>
      <c r="BD42" s="292"/>
      <c r="BE42" s="408" t="s">
        <v>757</v>
      </c>
      <c r="BF42" s="418">
        <v>87324</v>
      </c>
      <c r="BG42" s="418">
        <v>18546</v>
      </c>
      <c r="BH42" s="418">
        <v>2542</v>
      </c>
      <c r="BI42" s="418">
        <v>455</v>
      </c>
      <c r="BJ42" s="418">
        <v>571</v>
      </c>
      <c r="BK42" s="418">
        <v>763</v>
      </c>
      <c r="BL42" s="418">
        <v>4043</v>
      </c>
      <c r="BM42" s="418">
        <v>1388</v>
      </c>
      <c r="BN42" s="418">
        <v>19</v>
      </c>
      <c r="BO42" s="418">
        <v>581</v>
      </c>
      <c r="BP42" s="418">
        <v>1481</v>
      </c>
      <c r="BQ42" s="418">
        <v>5506</v>
      </c>
      <c r="BR42" s="418">
        <v>3079</v>
      </c>
      <c r="BS42" s="418">
        <v>169</v>
      </c>
      <c r="BT42" s="418">
        <v>52663</v>
      </c>
      <c r="BU42" s="418">
        <v>957</v>
      </c>
      <c r="BV42" s="418">
        <v>2020</v>
      </c>
      <c r="BW42" s="418">
        <v>2145</v>
      </c>
      <c r="BX42" s="418">
        <v>1415</v>
      </c>
      <c r="BY42" s="418">
        <v>7527</v>
      </c>
      <c r="BZ42" s="418">
        <v>2165</v>
      </c>
      <c r="CA42" s="418">
        <v>417</v>
      </c>
      <c r="CB42" s="418">
        <v>8609</v>
      </c>
      <c r="CC42" s="418">
        <v>1351</v>
      </c>
      <c r="CD42" s="418">
        <v>5186</v>
      </c>
      <c r="CE42" s="418">
        <v>2031</v>
      </c>
      <c r="CF42" s="418">
        <v>576</v>
      </c>
      <c r="CG42" s="418">
        <v>343</v>
      </c>
      <c r="CH42" s="418">
        <v>488</v>
      </c>
      <c r="CI42" s="418">
        <v>24294</v>
      </c>
      <c r="CJ42" s="418">
        <v>2078</v>
      </c>
      <c r="CK42" s="418">
        <v>422</v>
      </c>
      <c r="CL42" s="418">
        <v>474</v>
      </c>
      <c r="CM42" s="418">
        <v>579</v>
      </c>
      <c r="CN42" s="418">
        <v>1000</v>
      </c>
      <c r="CO42" s="418">
        <v>50013</v>
      </c>
      <c r="CP42" s="418">
        <v>15433</v>
      </c>
      <c r="CQ42" s="418">
        <v>3238</v>
      </c>
      <c r="CR42" s="418">
        <v>5783</v>
      </c>
      <c r="CS42" s="418">
        <v>70038</v>
      </c>
      <c r="CT42" s="418">
        <v>49662</v>
      </c>
      <c r="CU42" s="418">
        <v>13295</v>
      </c>
      <c r="CV42" s="418">
        <v>73</v>
      </c>
      <c r="CW42" s="418">
        <v>2705068</v>
      </c>
      <c r="CX42" s="418">
        <v>1355024</v>
      </c>
      <c r="CY42" s="418">
        <v>3364</v>
      </c>
      <c r="CZ42" s="418">
        <v>34297</v>
      </c>
      <c r="DA42" s="418">
        <v>8339</v>
      </c>
      <c r="DB42" s="418">
        <v>1362</v>
      </c>
      <c r="DC42" s="418">
        <v>11930</v>
      </c>
      <c r="DD42" s="418">
        <v>597</v>
      </c>
      <c r="DE42" s="418">
        <v>6633</v>
      </c>
      <c r="DF42" s="418">
        <v>64006</v>
      </c>
      <c r="DG42" s="418">
        <v>4504025</v>
      </c>
      <c r="DI42" s="419" t="s">
        <v>757</v>
      </c>
      <c r="DJ42" s="420">
        <v>206362</v>
      </c>
      <c r="DK42" s="420">
        <v>3157</v>
      </c>
      <c r="DL42" s="420">
        <v>223</v>
      </c>
      <c r="DM42" s="420">
        <v>260</v>
      </c>
      <c r="DN42" s="420">
        <v>324</v>
      </c>
      <c r="DO42" s="420">
        <v>376</v>
      </c>
      <c r="DP42" s="420">
        <v>3051</v>
      </c>
      <c r="DQ42" s="420">
        <v>1679</v>
      </c>
      <c r="DR42" s="420">
        <v>6169</v>
      </c>
      <c r="DS42" s="420">
        <v>1180</v>
      </c>
      <c r="DT42" s="420">
        <v>2769</v>
      </c>
      <c r="DU42" s="420">
        <v>2614</v>
      </c>
      <c r="DV42" s="420">
        <v>381</v>
      </c>
      <c r="DW42" s="420">
        <v>81</v>
      </c>
      <c r="DX42" s="420">
        <v>25462</v>
      </c>
      <c r="DY42" s="420">
        <v>685</v>
      </c>
      <c r="DZ42" s="420">
        <v>2487</v>
      </c>
      <c r="EA42" s="420">
        <v>156867</v>
      </c>
      <c r="EB42" s="420">
        <v>16</v>
      </c>
      <c r="EC42" s="420">
        <v>1738</v>
      </c>
      <c r="ED42" s="420">
        <v>0</v>
      </c>
      <c r="EE42" s="420">
        <v>0</v>
      </c>
      <c r="EF42" s="420">
        <v>0</v>
      </c>
      <c r="EG42" s="420">
        <v>77</v>
      </c>
      <c r="EH42" s="420">
        <v>12178</v>
      </c>
      <c r="EI42" s="420">
        <v>20</v>
      </c>
      <c r="EJ42" s="420">
        <v>0</v>
      </c>
      <c r="EK42" s="420">
        <v>147</v>
      </c>
      <c r="EL42" s="420">
        <v>0</v>
      </c>
      <c r="EM42" s="420">
        <v>26</v>
      </c>
      <c r="EN42" s="420">
        <v>10</v>
      </c>
      <c r="EO42" s="420">
        <v>0</v>
      </c>
      <c r="EP42" s="420">
        <v>2</v>
      </c>
      <c r="EQ42" s="420">
        <v>0</v>
      </c>
      <c r="ER42" s="420">
        <v>2</v>
      </c>
      <c r="ES42" s="420">
        <v>12462</v>
      </c>
      <c r="ET42" s="420">
        <v>0</v>
      </c>
      <c r="EU42" s="420">
        <v>0</v>
      </c>
      <c r="EV42" s="420">
        <v>13</v>
      </c>
      <c r="EW42" s="420">
        <v>0</v>
      </c>
      <c r="EX42" s="420">
        <v>0</v>
      </c>
      <c r="EY42" s="420">
        <v>882</v>
      </c>
      <c r="EZ42" s="420">
        <v>0</v>
      </c>
      <c r="FA42" s="420">
        <v>453143</v>
      </c>
      <c r="FB42" s="420">
        <v>907186</v>
      </c>
      <c r="FC42" s="420">
        <v>0</v>
      </c>
      <c r="FD42" s="420">
        <v>1200</v>
      </c>
      <c r="FE42" s="420">
        <v>0</v>
      </c>
      <c r="FF42" s="420">
        <v>1087</v>
      </c>
      <c r="FG42" s="420">
        <v>0</v>
      </c>
      <c r="FH42" s="420">
        <v>0</v>
      </c>
      <c r="FI42" s="420">
        <v>27</v>
      </c>
      <c r="FJ42" s="420">
        <v>872</v>
      </c>
      <c r="FK42" s="421">
        <v>1586391</v>
      </c>
    </row>
    <row r="43" spans="1:167" x14ac:dyDescent="0.35">
      <c r="A43" s="408" t="s">
        <v>758</v>
      </c>
      <c r="B43" s="417">
        <f t="shared" si="66"/>
        <v>8</v>
      </c>
      <c r="C43" s="417">
        <f t="shared" si="67"/>
        <v>0</v>
      </c>
      <c r="D43" s="417">
        <f t="shared" si="68"/>
        <v>0</v>
      </c>
      <c r="E43" s="417">
        <f t="shared" si="69"/>
        <v>0</v>
      </c>
      <c r="F43" s="417">
        <f t="shared" si="70"/>
        <v>0</v>
      </c>
      <c r="G43" s="417">
        <f t="shared" si="71"/>
        <v>0</v>
      </c>
      <c r="H43" s="417">
        <f t="shared" si="72"/>
        <v>0</v>
      </c>
      <c r="I43" s="417">
        <f t="shared" si="73"/>
        <v>0</v>
      </c>
      <c r="J43" s="417">
        <f t="shared" si="74"/>
        <v>0</v>
      </c>
      <c r="K43" s="417">
        <f t="shared" si="75"/>
        <v>0</v>
      </c>
      <c r="L43" s="417">
        <f t="shared" si="76"/>
        <v>0</v>
      </c>
      <c r="M43" s="417">
        <f t="shared" si="77"/>
        <v>0</v>
      </c>
      <c r="N43" s="417">
        <f t="shared" si="78"/>
        <v>0</v>
      </c>
      <c r="O43" s="417">
        <f t="shared" si="79"/>
        <v>0</v>
      </c>
      <c r="P43" s="417">
        <f t="shared" si="80"/>
        <v>8</v>
      </c>
      <c r="Q43" s="417">
        <f t="shared" si="81"/>
        <v>0</v>
      </c>
      <c r="R43" s="417">
        <f t="shared" si="82"/>
        <v>0</v>
      </c>
      <c r="S43" s="417">
        <f t="shared" si="83"/>
        <v>0</v>
      </c>
      <c r="T43" s="417">
        <f t="shared" si="84"/>
        <v>0</v>
      </c>
      <c r="U43" s="417">
        <f t="shared" si="85"/>
        <v>0</v>
      </c>
      <c r="V43" s="417">
        <f t="shared" si="86"/>
        <v>0</v>
      </c>
      <c r="W43" s="417">
        <f t="shared" si="87"/>
        <v>0</v>
      </c>
      <c r="X43" s="417">
        <f t="shared" si="88"/>
        <v>0</v>
      </c>
      <c r="Y43" s="417">
        <f t="shared" si="89"/>
        <v>0</v>
      </c>
      <c r="Z43" s="417">
        <f t="shared" si="90"/>
        <v>188</v>
      </c>
      <c r="AA43" s="417">
        <f t="shared" si="91"/>
        <v>0</v>
      </c>
      <c r="AB43" s="417">
        <f t="shared" si="92"/>
        <v>0</v>
      </c>
      <c r="AC43" s="417">
        <f t="shared" si="93"/>
        <v>0</v>
      </c>
      <c r="AD43" s="417">
        <f t="shared" si="94"/>
        <v>0</v>
      </c>
      <c r="AE43" s="417">
        <f t="shared" si="95"/>
        <v>0</v>
      </c>
      <c r="AF43" s="417">
        <f t="shared" si="96"/>
        <v>0</v>
      </c>
      <c r="AG43" s="417">
        <f t="shared" si="97"/>
        <v>0</v>
      </c>
      <c r="AH43" s="417">
        <f t="shared" si="98"/>
        <v>0</v>
      </c>
      <c r="AI43" s="417">
        <f t="shared" si="99"/>
        <v>0</v>
      </c>
      <c r="AJ43" s="417">
        <f t="shared" si="100"/>
        <v>0</v>
      </c>
      <c r="AK43" s="417">
        <f t="shared" si="101"/>
        <v>188</v>
      </c>
      <c r="AL43" s="417">
        <f t="shared" si="102"/>
        <v>0</v>
      </c>
      <c r="AM43" s="417">
        <f t="shared" si="103"/>
        <v>0</v>
      </c>
      <c r="AN43" s="417">
        <f t="shared" si="104"/>
        <v>0</v>
      </c>
      <c r="AO43" s="417">
        <f t="shared" si="105"/>
        <v>0</v>
      </c>
      <c r="AP43" s="417">
        <f t="shared" si="106"/>
        <v>0</v>
      </c>
      <c r="AQ43" s="417">
        <f t="shared" si="107"/>
        <v>0</v>
      </c>
      <c r="AR43" s="417">
        <f t="shared" si="108"/>
        <v>0</v>
      </c>
      <c r="AS43" s="417">
        <f t="shared" si="109"/>
        <v>0</v>
      </c>
      <c r="AT43" s="417">
        <f t="shared" si="110"/>
        <v>-13</v>
      </c>
      <c r="AU43" s="417">
        <f t="shared" si="111"/>
        <v>27</v>
      </c>
      <c r="AV43" s="417">
        <f t="shared" si="112"/>
        <v>0</v>
      </c>
      <c r="AW43" s="417">
        <f t="shared" si="113"/>
        <v>0</v>
      </c>
      <c r="AX43" s="417">
        <f t="shared" si="114"/>
        <v>0</v>
      </c>
      <c r="AY43" s="417">
        <f t="shared" si="115"/>
        <v>0</v>
      </c>
      <c r="AZ43" s="417">
        <f t="shared" si="116"/>
        <v>0</v>
      </c>
      <c r="BA43" s="417">
        <f t="shared" si="117"/>
        <v>0</v>
      </c>
      <c r="BB43" s="417">
        <f t="shared" si="118"/>
        <v>0</v>
      </c>
      <c r="BC43" s="417">
        <f t="shared" si="119"/>
        <v>210</v>
      </c>
      <c r="BD43" s="292"/>
      <c r="BE43" s="408" t="s">
        <v>758</v>
      </c>
      <c r="BF43" s="418">
        <v>8</v>
      </c>
      <c r="BG43" s="418">
        <v>0</v>
      </c>
      <c r="BH43" s="418">
        <v>0</v>
      </c>
      <c r="BI43" s="418">
        <v>0</v>
      </c>
      <c r="BJ43" s="418">
        <v>0</v>
      </c>
      <c r="BK43" s="418">
        <v>0</v>
      </c>
      <c r="BL43" s="418">
        <v>0</v>
      </c>
      <c r="BM43" s="418">
        <v>0</v>
      </c>
      <c r="BN43" s="418">
        <v>0</v>
      </c>
      <c r="BO43" s="418">
        <v>0</v>
      </c>
      <c r="BP43" s="418">
        <v>0</v>
      </c>
      <c r="BQ43" s="418">
        <v>0</v>
      </c>
      <c r="BR43" s="418">
        <v>0</v>
      </c>
      <c r="BS43" s="418">
        <v>0</v>
      </c>
      <c r="BT43" s="418">
        <v>8</v>
      </c>
      <c r="BU43" s="418">
        <v>0</v>
      </c>
      <c r="BV43" s="418">
        <v>0</v>
      </c>
      <c r="BW43" s="418">
        <v>0</v>
      </c>
      <c r="BX43" s="418">
        <v>0</v>
      </c>
      <c r="BY43" s="418">
        <v>0</v>
      </c>
      <c r="BZ43" s="418">
        <v>0</v>
      </c>
      <c r="CA43" s="418">
        <v>0</v>
      </c>
      <c r="CB43" s="418">
        <v>0</v>
      </c>
      <c r="CC43" s="418">
        <v>0</v>
      </c>
      <c r="CD43" s="418">
        <v>0</v>
      </c>
      <c r="CE43" s="418">
        <v>0</v>
      </c>
      <c r="CF43" s="418">
        <v>0</v>
      </c>
      <c r="CG43" s="418">
        <v>0</v>
      </c>
      <c r="CH43" s="418">
        <v>0</v>
      </c>
      <c r="CI43" s="418">
        <v>0</v>
      </c>
      <c r="CJ43" s="418">
        <v>0</v>
      </c>
      <c r="CK43" s="418">
        <v>0</v>
      </c>
      <c r="CL43" s="418">
        <v>0</v>
      </c>
      <c r="CM43" s="418">
        <v>0</v>
      </c>
      <c r="CN43" s="418">
        <v>0</v>
      </c>
      <c r="CO43" s="418">
        <v>0</v>
      </c>
      <c r="CP43" s="418">
        <v>0</v>
      </c>
      <c r="CQ43" s="418">
        <v>0</v>
      </c>
      <c r="CR43" s="418">
        <v>0</v>
      </c>
      <c r="CS43" s="418">
        <v>0</v>
      </c>
      <c r="CT43" s="418">
        <v>0</v>
      </c>
      <c r="CU43" s="418">
        <v>0</v>
      </c>
      <c r="CV43" s="418">
        <v>0</v>
      </c>
      <c r="CW43" s="418">
        <v>0</v>
      </c>
      <c r="CX43" s="418">
        <v>0</v>
      </c>
      <c r="CY43" s="418">
        <v>27</v>
      </c>
      <c r="CZ43" s="418">
        <v>0</v>
      </c>
      <c r="DA43" s="418">
        <v>0</v>
      </c>
      <c r="DB43" s="418">
        <v>0</v>
      </c>
      <c r="DC43" s="418">
        <v>0</v>
      </c>
      <c r="DD43" s="418">
        <v>0</v>
      </c>
      <c r="DE43" s="418">
        <v>0</v>
      </c>
      <c r="DF43" s="418">
        <v>0</v>
      </c>
      <c r="DG43" s="418">
        <v>35</v>
      </c>
      <c r="DI43" s="419" t="s">
        <v>758</v>
      </c>
      <c r="DJ43" s="420">
        <v>0</v>
      </c>
      <c r="DK43" s="420">
        <v>0</v>
      </c>
      <c r="DL43" s="420">
        <v>0</v>
      </c>
      <c r="DM43" s="420">
        <v>0</v>
      </c>
      <c r="DN43" s="420">
        <v>0</v>
      </c>
      <c r="DO43" s="420">
        <v>0</v>
      </c>
      <c r="DP43" s="420">
        <v>0</v>
      </c>
      <c r="DQ43" s="420">
        <v>0</v>
      </c>
      <c r="DR43" s="420">
        <v>0</v>
      </c>
      <c r="DS43" s="420">
        <v>0</v>
      </c>
      <c r="DT43" s="420">
        <v>0</v>
      </c>
      <c r="DU43" s="420">
        <v>0</v>
      </c>
      <c r="DV43" s="420">
        <v>0</v>
      </c>
      <c r="DW43" s="420">
        <v>0</v>
      </c>
      <c r="DX43" s="420">
        <v>0</v>
      </c>
      <c r="DY43" s="420">
        <v>0</v>
      </c>
      <c r="DZ43" s="420">
        <v>0</v>
      </c>
      <c r="EA43" s="420">
        <v>0</v>
      </c>
      <c r="EB43" s="420">
        <v>0</v>
      </c>
      <c r="EC43" s="420">
        <v>0</v>
      </c>
      <c r="ED43" s="420">
        <v>0</v>
      </c>
      <c r="EE43" s="420">
        <v>0</v>
      </c>
      <c r="EF43" s="420">
        <v>0</v>
      </c>
      <c r="EG43" s="420">
        <v>0</v>
      </c>
      <c r="EH43" s="420">
        <v>188</v>
      </c>
      <c r="EI43" s="420">
        <v>0</v>
      </c>
      <c r="EJ43" s="420">
        <v>0</v>
      </c>
      <c r="EK43" s="420">
        <v>0</v>
      </c>
      <c r="EL43" s="420">
        <v>0</v>
      </c>
      <c r="EM43" s="420">
        <v>0</v>
      </c>
      <c r="EN43" s="420">
        <v>0</v>
      </c>
      <c r="EO43" s="420">
        <v>0</v>
      </c>
      <c r="EP43" s="420">
        <v>0</v>
      </c>
      <c r="EQ43" s="420">
        <v>0</v>
      </c>
      <c r="ER43" s="420">
        <v>0</v>
      </c>
      <c r="ES43" s="420">
        <v>188</v>
      </c>
      <c r="ET43" s="420">
        <v>0</v>
      </c>
      <c r="EU43" s="420">
        <v>0</v>
      </c>
      <c r="EV43" s="420">
        <v>0</v>
      </c>
      <c r="EW43" s="420">
        <v>0</v>
      </c>
      <c r="EX43" s="420">
        <v>0</v>
      </c>
      <c r="EY43" s="420">
        <v>0</v>
      </c>
      <c r="EZ43" s="420">
        <v>0</v>
      </c>
      <c r="FA43" s="420">
        <v>0</v>
      </c>
      <c r="FB43" s="420">
        <v>-13</v>
      </c>
      <c r="FC43" s="420">
        <v>0</v>
      </c>
      <c r="FD43" s="420">
        <v>0</v>
      </c>
      <c r="FE43" s="420">
        <v>0</v>
      </c>
      <c r="FF43" s="420">
        <v>0</v>
      </c>
      <c r="FG43" s="420">
        <v>0</v>
      </c>
      <c r="FH43" s="420">
        <v>0</v>
      </c>
      <c r="FI43" s="420">
        <v>0</v>
      </c>
      <c r="FJ43" s="420">
        <v>0</v>
      </c>
      <c r="FK43" s="421">
        <v>175</v>
      </c>
    </row>
    <row r="44" spans="1:167" x14ac:dyDescent="0.35">
      <c r="A44" s="408" t="s">
        <v>759</v>
      </c>
      <c r="B44" s="417">
        <f t="shared" si="66"/>
        <v>2529</v>
      </c>
      <c r="C44" s="417">
        <f t="shared" si="67"/>
        <v>428</v>
      </c>
      <c r="D44" s="417">
        <f t="shared" si="68"/>
        <v>0</v>
      </c>
      <c r="E44" s="417">
        <f t="shared" si="69"/>
        <v>0</v>
      </c>
      <c r="F44" s="417">
        <f t="shared" si="70"/>
        <v>0</v>
      </c>
      <c r="G44" s="417">
        <f t="shared" si="71"/>
        <v>0</v>
      </c>
      <c r="H44" s="417">
        <f t="shared" si="72"/>
        <v>0</v>
      </c>
      <c r="I44" s="417">
        <f t="shared" si="73"/>
        <v>0</v>
      </c>
      <c r="J44" s="417">
        <f t="shared" si="74"/>
        <v>0</v>
      </c>
      <c r="K44" s="417">
        <f t="shared" si="75"/>
        <v>0</v>
      </c>
      <c r="L44" s="417">
        <f t="shared" si="76"/>
        <v>17</v>
      </c>
      <c r="M44" s="417">
        <f t="shared" si="77"/>
        <v>0</v>
      </c>
      <c r="N44" s="417">
        <f t="shared" si="78"/>
        <v>213</v>
      </c>
      <c r="O44" s="417">
        <f t="shared" si="79"/>
        <v>0</v>
      </c>
      <c r="P44" s="417">
        <f t="shared" si="80"/>
        <v>0</v>
      </c>
      <c r="Q44" s="417">
        <f t="shared" si="81"/>
        <v>0</v>
      </c>
      <c r="R44" s="417">
        <f t="shared" si="82"/>
        <v>0</v>
      </c>
      <c r="S44" s="417">
        <f t="shared" si="83"/>
        <v>1519</v>
      </c>
      <c r="T44" s="417">
        <f t="shared" si="84"/>
        <v>0</v>
      </c>
      <c r="U44" s="417">
        <f t="shared" si="85"/>
        <v>780</v>
      </c>
      <c r="V44" s="417">
        <f t="shared" si="86"/>
        <v>19</v>
      </c>
      <c r="W44" s="417">
        <f t="shared" si="87"/>
        <v>0</v>
      </c>
      <c r="X44" s="417">
        <f t="shared" si="88"/>
        <v>107</v>
      </c>
      <c r="Y44" s="417">
        <f t="shared" si="89"/>
        <v>51</v>
      </c>
      <c r="Z44" s="417">
        <f t="shared" si="90"/>
        <v>1</v>
      </c>
      <c r="AA44" s="417">
        <f t="shared" si="91"/>
        <v>0</v>
      </c>
      <c r="AB44" s="417">
        <f t="shared" si="92"/>
        <v>0</v>
      </c>
      <c r="AC44" s="417">
        <f t="shared" si="93"/>
        <v>0</v>
      </c>
      <c r="AD44" s="417">
        <f t="shared" si="94"/>
        <v>6</v>
      </c>
      <c r="AE44" s="417">
        <f t="shared" si="95"/>
        <v>7451</v>
      </c>
      <c r="AF44" s="417">
        <f t="shared" si="96"/>
        <v>14</v>
      </c>
      <c r="AG44" s="417">
        <f t="shared" si="97"/>
        <v>33</v>
      </c>
      <c r="AH44" s="417">
        <f t="shared" si="98"/>
        <v>0</v>
      </c>
      <c r="AI44" s="417">
        <f t="shared" si="99"/>
        <v>10</v>
      </c>
      <c r="AJ44" s="417">
        <f t="shared" si="100"/>
        <v>16</v>
      </c>
      <c r="AK44" s="417">
        <f t="shared" si="101"/>
        <v>7708</v>
      </c>
      <c r="AL44" s="417">
        <f t="shared" si="102"/>
        <v>5486</v>
      </c>
      <c r="AM44" s="417">
        <f t="shared" si="103"/>
        <v>263</v>
      </c>
      <c r="AN44" s="417">
        <f t="shared" si="104"/>
        <v>84</v>
      </c>
      <c r="AO44" s="417">
        <f t="shared" si="105"/>
        <v>134271</v>
      </c>
      <c r="AP44" s="417">
        <f t="shared" si="106"/>
        <v>42040</v>
      </c>
      <c r="AQ44" s="417">
        <f t="shared" si="107"/>
        <v>0</v>
      </c>
      <c r="AR44" s="417">
        <f t="shared" si="108"/>
        <v>0</v>
      </c>
      <c r="AS44" s="417">
        <f t="shared" si="109"/>
        <v>90053</v>
      </c>
      <c r="AT44" s="417">
        <f t="shared" si="110"/>
        <v>7881</v>
      </c>
      <c r="AU44" s="417">
        <f t="shared" si="111"/>
        <v>18</v>
      </c>
      <c r="AV44" s="417">
        <f t="shared" si="112"/>
        <v>22362</v>
      </c>
      <c r="AW44" s="417">
        <f t="shared" si="113"/>
        <v>5</v>
      </c>
      <c r="AX44" s="417">
        <f t="shared" si="114"/>
        <v>389</v>
      </c>
      <c r="AY44" s="417">
        <f t="shared" si="115"/>
        <v>5262</v>
      </c>
      <c r="AZ44" s="417">
        <f t="shared" si="116"/>
        <v>58</v>
      </c>
      <c r="BA44" s="417">
        <f t="shared" si="117"/>
        <v>8</v>
      </c>
      <c r="BB44" s="417">
        <f t="shared" si="118"/>
        <v>1704</v>
      </c>
      <c r="BC44" s="417">
        <f t="shared" si="119"/>
        <v>320549</v>
      </c>
      <c r="BD44" s="292"/>
      <c r="BE44" s="408" t="s">
        <v>759</v>
      </c>
      <c r="BF44" s="418">
        <v>153</v>
      </c>
      <c r="BG44" s="418">
        <v>428</v>
      </c>
      <c r="BH44" s="418">
        <v>0</v>
      </c>
      <c r="BI44" s="418">
        <v>0</v>
      </c>
      <c r="BJ44" s="418">
        <v>0</v>
      </c>
      <c r="BK44" s="418">
        <v>0</v>
      </c>
      <c r="BL44" s="418">
        <v>0</v>
      </c>
      <c r="BM44" s="418">
        <v>0</v>
      </c>
      <c r="BN44" s="418">
        <v>0</v>
      </c>
      <c r="BO44" s="418">
        <v>0</v>
      </c>
      <c r="BP44" s="418">
        <v>0</v>
      </c>
      <c r="BQ44" s="418">
        <v>0</v>
      </c>
      <c r="BR44" s="418">
        <v>153</v>
      </c>
      <c r="BS44" s="418">
        <v>0</v>
      </c>
      <c r="BT44" s="418">
        <v>0</v>
      </c>
      <c r="BU44" s="418">
        <v>0</v>
      </c>
      <c r="BV44" s="418">
        <v>0</v>
      </c>
      <c r="BW44" s="418">
        <v>0</v>
      </c>
      <c r="BX44" s="418">
        <v>0</v>
      </c>
      <c r="BY44" s="418">
        <v>0</v>
      </c>
      <c r="BZ44" s="418">
        <v>19</v>
      </c>
      <c r="CA44" s="418">
        <v>0</v>
      </c>
      <c r="CB44" s="418">
        <v>107</v>
      </c>
      <c r="CC44" s="418">
        <v>51</v>
      </c>
      <c r="CD44" s="418">
        <v>1</v>
      </c>
      <c r="CE44" s="418">
        <v>0</v>
      </c>
      <c r="CF44" s="418">
        <v>0</v>
      </c>
      <c r="CG44" s="418">
        <v>0</v>
      </c>
      <c r="CH44" s="418">
        <v>6</v>
      </c>
      <c r="CI44" s="418">
        <v>7451</v>
      </c>
      <c r="CJ44" s="418">
        <v>14</v>
      </c>
      <c r="CK44" s="418">
        <v>33</v>
      </c>
      <c r="CL44" s="418">
        <v>0</v>
      </c>
      <c r="CM44" s="418">
        <v>10</v>
      </c>
      <c r="CN44" s="418">
        <v>16</v>
      </c>
      <c r="CO44" s="418">
        <v>7708</v>
      </c>
      <c r="CP44" s="418">
        <v>5486</v>
      </c>
      <c r="CQ44" s="418">
        <v>263</v>
      </c>
      <c r="CR44" s="418">
        <v>84</v>
      </c>
      <c r="CS44" s="418">
        <v>134271</v>
      </c>
      <c r="CT44" s="418">
        <v>42040</v>
      </c>
      <c r="CU44" s="418">
        <v>0</v>
      </c>
      <c r="CV44" s="418">
        <v>0</v>
      </c>
      <c r="CW44" s="418">
        <v>85702</v>
      </c>
      <c r="CX44" s="418">
        <v>7839</v>
      </c>
      <c r="CY44" s="418">
        <v>18</v>
      </c>
      <c r="CZ44" s="418">
        <v>20357</v>
      </c>
      <c r="DA44" s="418">
        <v>5</v>
      </c>
      <c r="DB44" s="418">
        <v>389</v>
      </c>
      <c r="DC44" s="418">
        <v>5262</v>
      </c>
      <c r="DD44" s="418">
        <v>58</v>
      </c>
      <c r="DE44" s="418">
        <v>8</v>
      </c>
      <c r="DF44" s="418">
        <v>1704</v>
      </c>
      <c r="DG44" s="418">
        <v>311775</v>
      </c>
      <c r="DI44" s="419" t="s">
        <v>759</v>
      </c>
      <c r="DJ44" s="420">
        <v>2376</v>
      </c>
      <c r="DK44" s="420">
        <v>0</v>
      </c>
      <c r="DL44" s="420">
        <v>0</v>
      </c>
      <c r="DM44" s="420">
        <v>0</v>
      </c>
      <c r="DN44" s="420">
        <v>0</v>
      </c>
      <c r="DO44" s="420">
        <v>0</v>
      </c>
      <c r="DP44" s="420">
        <v>0</v>
      </c>
      <c r="DQ44" s="420">
        <v>0</v>
      </c>
      <c r="DR44" s="420">
        <v>0</v>
      </c>
      <c r="DS44" s="420">
        <v>0</v>
      </c>
      <c r="DT44" s="420">
        <v>17</v>
      </c>
      <c r="DU44" s="420">
        <v>0</v>
      </c>
      <c r="DV44" s="420">
        <v>60</v>
      </c>
      <c r="DW44" s="420">
        <v>0</v>
      </c>
      <c r="DX44" s="420">
        <v>0</v>
      </c>
      <c r="DY44" s="420">
        <v>0</v>
      </c>
      <c r="DZ44" s="420">
        <v>0</v>
      </c>
      <c r="EA44" s="420">
        <v>1519</v>
      </c>
      <c r="EB44" s="420">
        <v>0</v>
      </c>
      <c r="EC44" s="420">
        <v>780</v>
      </c>
      <c r="ED44" s="420">
        <v>0</v>
      </c>
      <c r="EE44" s="420">
        <v>0</v>
      </c>
      <c r="EF44" s="420">
        <v>0</v>
      </c>
      <c r="EG44" s="420">
        <v>0</v>
      </c>
      <c r="EH44" s="420">
        <v>0</v>
      </c>
      <c r="EI44" s="420">
        <v>0</v>
      </c>
      <c r="EJ44" s="420">
        <v>0</v>
      </c>
      <c r="EK44" s="420">
        <v>0</v>
      </c>
      <c r="EL44" s="420">
        <v>0</v>
      </c>
      <c r="EM44" s="420">
        <v>0</v>
      </c>
      <c r="EN44" s="420">
        <v>0</v>
      </c>
      <c r="EO44" s="420">
        <v>0</v>
      </c>
      <c r="EP44" s="420">
        <v>0</v>
      </c>
      <c r="EQ44" s="420">
        <v>0</v>
      </c>
      <c r="ER44" s="420">
        <v>0</v>
      </c>
      <c r="ES44" s="420">
        <v>0</v>
      </c>
      <c r="ET44" s="420">
        <v>0</v>
      </c>
      <c r="EU44" s="420">
        <v>0</v>
      </c>
      <c r="EV44" s="420">
        <v>0</v>
      </c>
      <c r="EW44" s="420">
        <v>0</v>
      </c>
      <c r="EX44" s="420">
        <v>0</v>
      </c>
      <c r="EY44" s="420">
        <v>0</v>
      </c>
      <c r="EZ44" s="420">
        <v>0</v>
      </c>
      <c r="FA44" s="420">
        <v>4351</v>
      </c>
      <c r="FB44" s="420">
        <v>42</v>
      </c>
      <c r="FC44" s="420">
        <v>0</v>
      </c>
      <c r="FD44" s="420">
        <v>2005</v>
      </c>
      <c r="FE44" s="420">
        <v>0</v>
      </c>
      <c r="FF44" s="420">
        <v>0</v>
      </c>
      <c r="FG44" s="420">
        <v>0</v>
      </c>
      <c r="FH44" s="420">
        <v>0</v>
      </c>
      <c r="FI44" s="420">
        <v>0</v>
      </c>
      <c r="FJ44" s="420">
        <v>0</v>
      </c>
      <c r="FK44" s="421">
        <v>8774</v>
      </c>
    </row>
    <row r="45" spans="1:167" x14ac:dyDescent="0.35">
      <c r="A45" s="408" t="s">
        <v>760</v>
      </c>
      <c r="B45" s="417">
        <f t="shared" si="66"/>
        <v>91529</v>
      </c>
      <c r="C45" s="417">
        <f t="shared" si="67"/>
        <v>32752</v>
      </c>
      <c r="D45" s="417">
        <f t="shared" si="68"/>
        <v>1374</v>
      </c>
      <c r="E45" s="417">
        <f t="shared" si="69"/>
        <v>345</v>
      </c>
      <c r="F45" s="417">
        <f t="shared" si="70"/>
        <v>1934</v>
      </c>
      <c r="G45" s="417">
        <f t="shared" si="71"/>
        <v>772</v>
      </c>
      <c r="H45" s="417">
        <f t="shared" si="72"/>
        <v>4468</v>
      </c>
      <c r="I45" s="417">
        <f t="shared" si="73"/>
        <v>2530</v>
      </c>
      <c r="J45" s="417">
        <f t="shared" si="74"/>
        <v>338</v>
      </c>
      <c r="K45" s="417">
        <f t="shared" si="75"/>
        <v>2416</v>
      </c>
      <c r="L45" s="417">
        <f t="shared" si="76"/>
        <v>4960</v>
      </c>
      <c r="M45" s="417">
        <f t="shared" si="77"/>
        <v>1730</v>
      </c>
      <c r="N45" s="417">
        <f t="shared" si="78"/>
        <v>2601</v>
      </c>
      <c r="O45" s="417">
        <f t="shared" si="79"/>
        <v>1433</v>
      </c>
      <c r="P45" s="417">
        <f t="shared" si="80"/>
        <v>24270</v>
      </c>
      <c r="Q45" s="417">
        <f t="shared" si="81"/>
        <v>639</v>
      </c>
      <c r="R45" s="417">
        <f t="shared" si="82"/>
        <v>3277</v>
      </c>
      <c r="S45" s="417">
        <f t="shared" si="83"/>
        <v>34787</v>
      </c>
      <c r="T45" s="417">
        <f t="shared" si="84"/>
        <v>103</v>
      </c>
      <c r="U45" s="417">
        <f t="shared" si="85"/>
        <v>3552</v>
      </c>
      <c r="V45" s="417">
        <f t="shared" si="86"/>
        <v>3918</v>
      </c>
      <c r="W45" s="417">
        <f t="shared" si="87"/>
        <v>175</v>
      </c>
      <c r="X45" s="417">
        <f t="shared" si="88"/>
        <v>7695</v>
      </c>
      <c r="Y45" s="417">
        <f t="shared" si="89"/>
        <v>525</v>
      </c>
      <c r="Z45" s="417">
        <f t="shared" si="90"/>
        <v>0</v>
      </c>
      <c r="AA45" s="417">
        <f t="shared" si="91"/>
        <v>77</v>
      </c>
      <c r="AB45" s="417">
        <f t="shared" si="92"/>
        <v>58</v>
      </c>
      <c r="AC45" s="417">
        <f t="shared" si="93"/>
        <v>769</v>
      </c>
      <c r="AD45" s="417">
        <f t="shared" si="94"/>
        <v>273</v>
      </c>
      <c r="AE45" s="417">
        <f t="shared" si="95"/>
        <v>2178</v>
      </c>
      <c r="AF45" s="417">
        <f t="shared" si="96"/>
        <v>432</v>
      </c>
      <c r="AG45" s="417">
        <f t="shared" si="97"/>
        <v>27</v>
      </c>
      <c r="AH45" s="417">
        <f t="shared" si="98"/>
        <v>0</v>
      </c>
      <c r="AI45" s="417">
        <f t="shared" si="99"/>
        <v>0</v>
      </c>
      <c r="AJ45" s="417">
        <f t="shared" si="100"/>
        <v>319</v>
      </c>
      <c r="AK45" s="417">
        <f t="shared" si="101"/>
        <v>16446</v>
      </c>
      <c r="AL45" s="417">
        <f t="shared" si="102"/>
        <v>3198</v>
      </c>
      <c r="AM45" s="417">
        <f t="shared" si="103"/>
        <v>131</v>
      </c>
      <c r="AN45" s="417">
        <f t="shared" si="104"/>
        <v>442</v>
      </c>
      <c r="AO45" s="417">
        <f t="shared" si="105"/>
        <v>830</v>
      </c>
      <c r="AP45" s="417">
        <f t="shared" si="106"/>
        <v>1279</v>
      </c>
      <c r="AQ45" s="417">
        <f t="shared" si="107"/>
        <v>111</v>
      </c>
      <c r="AR45" s="417">
        <f t="shared" si="108"/>
        <v>13</v>
      </c>
      <c r="AS45" s="417">
        <f t="shared" si="109"/>
        <v>83698</v>
      </c>
      <c r="AT45" s="417">
        <f t="shared" si="110"/>
        <v>418748</v>
      </c>
      <c r="AU45" s="417">
        <f t="shared" si="111"/>
        <v>273</v>
      </c>
      <c r="AV45" s="417">
        <f t="shared" si="112"/>
        <v>426</v>
      </c>
      <c r="AW45" s="417">
        <f t="shared" si="113"/>
        <v>2</v>
      </c>
      <c r="AX45" s="417">
        <f t="shared" si="114"/>
        <v>339</v>
      </c>
      <c r="AY45" s="417">
        <f t="shared" si="115"/>
        <v>0</v>
      </c>
      <c r="AZ45" s="417">
        <f t="shared" si="116"/>
        <v>0</v>
      </c>
      <c r="BA45" s="417">
        <f t="shared" si="117"/>
        <v>13</v>
      </c>
      <c r="BB45" s="417">
        <f t="shared" si="118"/>
        <v>1559</v>
      </c>
      <c r="BC45" s="417">
        <f t="shared" si="119"/>
        <v>651789</v>
      </c>
      <c r="BD45" s="292"/>
      <c r="BE45" s="408" t="s">
        <v>760</v>
      </c>
      <c r="BF45" s="418">
        <v>40860</v>
      </c>
      <c r="BG45" s="418">
        <v>32570</v>
      </c>
      <c r="BH45" s="418">
        <v>1272</v>
      </c>
      <c r="BI45" s="418">
        <v>181</v>
      </c>
      <c r="BJ45" s="418">
        <v>1169</v>
      </c>
      <c r="BK45" s="418">
        <v>523</v>
      </c>
      <c r="BL45" s="418">
        <v>3196</v>
      </c>
      <c r="BM45" s="418">
        <v>1118</v>
      </c>
      <c r="BN45" s="418">
        <v>10</v>
      </c>
      <c r="BO45" s="418">
        <v>330</v>
      </c>
      <c r="BP45" s="418">
        <v>1338</v>
      </c>
      <c r="BQ45" s="418">
        <v>1026</v>
      </c>
      <c r="BR45" s="418">
        <v>2555</v>
      </c>
      <c r="BS45" s="418">
        <v>177</v>
      </c>
      <c r="BT45" s="418">
        <v>18896</v>
      </c>
      <c r="BU45" s="418">
        <v>338</v>
      </c>
      <c r="BV45" s="418">
        <v>2761</v>
      </c>
      <c r="BW45" s="418">
        <v>2646</v>
      </c>
      <c r="BX45" s="418">
        <v>26</v>
      </c>
      <c r="BY45" s="418">
        <v>3298</v>
      </c>
      <c r="BZ45" s="418">
        <v>3918</v>
      </c>
      <c r="CA45" s="418">
        <v>175</v>
      </c>
      <c r="CB45" s="418">
        <v>7695</v>
      </c>
      <c r="CC45" s="418">
        <v>525</v>
      </c>
      <c r="CD45" s="418">
        <v>0</v>
      </c>
      <c r="CE45" s="418">
        <v>77</v>
      </c>
      <c r="CF45" s="418">
        <v>58</v>
      </c>
      <c r="CG45" s="418">
        <v>769</v>
      </c>
      <c r="CH45" s="418">
        <v>273</v>
      </c>
      <c r="CI45" s="418">
        <v>2178</v>
      </c>
      <c r="CJ45" s="418">
        <v>432</v>
      </c>
      <c r="CK45" s="418">
        <v>27</v>
      </c>
      <c r="CL45" s="418">
        <v>0</v>
      </c>
      <c r="CM45" s="418">
        <v>0</v>
      </c>
      <c r="CN45" s="418">
        <v>319</v>
      </c>
      <c r="CO45" s="418">
        <v>16446</v>
      </c>
      <c r="CP45" s="418">
        <v>3198</v>
      </c>
      <c r="CQ45" s="418">
        <v>131</v>
      </c>
      <c r="CR45" s="418">
        <v>422</v>
      </c>
      <c r="CS45" s="418">
        <v>830</v>
      </c>
      <c r="CT45" s="418">
        <v>1279</v>
      </c>
      <c r="CU45" s="418">
        <v>111</v>
      </c>
      <c r="CV45" s="418">
        <v>13</v>
      </c>
      <c r="CW45" s="418">
        <v>76130</v>
      </c>
      <c r="CX45" s="418">
        <v>262072</v>
      </c>
      <c r="CY45" s="418">
        <v>273</v>
      </c>
      <c r="CZ45" s="418">
        <v>426</v>
      </c>
      <c r="DA45" s="418">
        <v>2</v>
      </c>
      <c r="DB45" s="418">
        <v>339</v>
      </c>
      <c r="DC45" s="418">
        <v>0</v>
      </c>
      <c r="DD45" s="418">
        <v>0</v>
      </c>
      <c r="DE45" s="418">
        <v>13</v>
      </c>
      <c r="DF45" s="418">
        <v>1547</v>
      </c>
      <c r="DG45" s="418">
        <v>436662</v>
      </c>
      <c r="DI45" s="425" t="s">
        <v>760</v>
      </c>
      <c r="DJ45" s="426">
        <v>50669</v>
      </c>
      <c r="DK45" s="426">
        <v>182</v>
      </c>
      <c r="DL45" s="426">
        <v>102</v>
      </c>
      <c r="DM45" s="426">
        <v>164</v>
      </c>
      <c r="DN45" s="426">
        <v>765</v>
      </c>
      <c r="DO45" s="426">
        <v>249</v>
      </c>
      <c r="DP45" s="426">
        <v>1272</v>
      </c>
      <c r="DQ45" s="426">
        <v>1412</v>
      </c>
      <c r="DR45" s="426">
        <v>328</v>
      </c>
      <c r="DS45" s="426">
        <v>2086</v>
      </c>
      <c r="DT45" s="426">
        <v>3622</v>
      </c>
      <c r="DU45" s="426">
        <v>704</v>
      </c>
      <c r="DV45" s="426">
        <v>46</v>
      </c>
      <c r="DW45" s="426">
        <v>1256</v>
      </c>
      <c r="DX45" s="426">
        <v>5374</v>
      </c>
      <c r="DY45" s="426">
        <v>301</v>
      </c>
      <c r="DZ45" s="426">
        <v>516</v>
      </c>
      <c r="EA45" s="426">
        <v>32141</v>
      </c>
      <c r="EB45" s="426">
        <v>77</v>
      </c>
      <c r="EC45" s="426">
        <v>254</v>
      </c>
      <c r="ED45" s="426">
        <v>0</v>
      </c>
      <c r="EE45" s="426">
        <v>0</v>
      </c>
      <c r="EF45" s="426">
        <v>0</v>
      </c>
      <c r="EG45" s="426">
        <v>0</v>
      </c>
      <c r="EH45" s="426">
        <v>0</v>
      </c>
      <c r="EI45" s="426">
        <v>0</v>
      </c>
      <c r="EJ45" s="426">
        <v>0</v>
      </c>
      <c r="EK45" s="426">
        <v>0</v>
      </c>
      <c r="EL45" s="426">
        <v>0</v>
      </c>
      <c r="EM45" s="426">
        <v>0</v>
      </c>
      <c r="EN45" s="426">
        <v>0</v>
      </c>
      <c r="EO45" s="426">
        <v>0</v>
      </c>
      <c r="EP45" s="426">
        <v>0</v>
      </c>
      <c r="EQ45" s="426">
        <v>0</v>
      </c>
      <c r="ER45" s="426">
        <v>0</v>
      </c>
      <c r="ES45" s="426">
        <v>0</v>
      </c>
      <c r="ET45" s="426">
        <v>0</v>
      </c>
      <c r="EU45" s="426">
        <v>0</v>
      </c>
      <c r="EV45" s="426">
        <v>20</v>
      </c>
      <c r="EW45" s="426">
        <v>0</v>
      </c>
      <c r="EX45" s="426">
        <v>0</v>
      </c>
      <c r="EY45" s="426">
        <v>0</v>
      </c>
      <c r="EZ45" s="426">
        <v>0</v>
      </c>
      <c r="FA45" s="426">
        <v>7568</v>
      </c>
      <c r="FB45" s="426">
        <v>156676</v>
      </c>
      <c r="FC45" s="426">
        <v>0</v>
      </c>
      <c r="FD45" s="426">
        <v>0</v>
      </c>
      <c r="FE45" s="426">
        <v>0</v>
      </c>
      <c r="FF45" s="426">
        <v>0</v>
      </c>
      <c r="FG45" s="426">
        <v>0</v>
      </c>
      <c r="FH45" s="426">
        <v>0</v>
      </c>
      <c r="FI45" s="426">
        <v>0</v>
      </c>
      <c r="FJ45" s="426">
        <v>12</v>
      </c>
      <c r="FK45" s="427">
        <v>215127</v>
      </c>
    </row>
    <row r="46" spans="1:167" s="429" customFormat="1" x14ac:dyDescent="0.35">
      <c r="A46" s="409" t="s">
        <v>761</v>
      </c>
      <c r="B46" s="428">
        <f t="shared" ref="B46:AG46" si="120">B19+B21+B22</f>
        <v>33804485</v>
      </c>
      <c r="C46" s="428">
        <f t="shared" si="120"/>
        <v>689604</v>
      </c>
      <c r="D46" s="428">
        <f t="shared" si="120"/>
        <v>1046888</v>
      </c>
      <c r="E46" s="428">
        <f t="shared" si="120"/>
        <v>355455</v>
      </c>
      <c r="F46" s="428">
        <f t="shared" si="120"/>
        <v>402151</v>
      </c>
      <c r="G46" s="428">
        <f t="shared" si="120"/>
        <v>493095</v>
      </c>
      <c r="H46" s="428">
        <f t="shared" si="120"/>
        <v>2745197</v>
      </c>
      <c r="I46" s="428">
        <f t="shared" si="120"/>
        <v>661110</v>
      </c>
      <c r="J46" s="428">
        <f t="shared" si="120"/>
        <v>263081</v>
      </c>
      <c r="K46" s="428">
        <f t="shared" si="120"/>
        <v>1175434</v>
      </c>
      <c r="L46" s="428">
        <f t="shared" si="120"/>
        <v>1424063</v>
      </c>
      <c r="M46" s="428">
        <f t="shared" si="120"/>
        <v>1598039</v>
      </c>
      <c r="N46" s="428">
        <f t="shared" si="120"/>
        <v>606200</v>
      </c>
      <c r="O46" s="428">
        <f t="shared" si="120"/>
        <v>254379</v>
      </c>
      <c r="P46" s="428">
        <f t="shared" si="120"/>
        <v>3090140</v>
      </c>
      <c r="Q46" s="428">
        <f t="shared" si="120"/>
        <v>780922</v>
      </c>
      <c r="R46" s="428">
        <f t="shared" si="120"/>
        <v>1307817</v>
      </c>
      <c r="S46" s="428">
        <f t="shared" si="120"/>
        <v>16000573</v>
      </c>
      <c r="T46" s="428">
        <f t="shared" si="120"/>
        <v>136659</v>
      </c>
      <c r="U46" s="428">
        <f t="shared" si="120"/>
        <v>1463282</v>
      </c>
      <c r="V46" s="428">
        <f t="shared" si="120"/>
        <v>3161420</v>
      </c>
      <c r="W46" s="428">
        <f t="shared" si="120"/>
        <v>371601</v>
      </c>
      <c r="X46" s="428">
        <f t="shared" si="120"/>
        <v>5279147</v>
      </c>
      <c r="Y46" s="428">
        <f t="shared" si="120"/>
        <v>698354</v>
      </c>
      <c r="Z46" s="428">
        <f t="shared" si="120"/>
        <v>1430387</v>
      </c>
      <c r="AA46" s="428">
        <f t="shared" si="120"/>
        <v>194729</v>
      </c>
      <c r="AB46" s="428">
        <f t="shared" si="120"/>
        <v>94188</v>
      </c>
      <c r="AC46" s="428">
        <f t="shared" si="120"/>
        <v>22121</v>
      </c>
      <c r="AD46" s="428">
        <f t="shared" si="120"/>
        <v>345238</v>
      </c>
      <c r="AE46" s="428">
        <f t="shared" si="120"/>
        <v>753058</v>
      </c>
      <c r="AF46" s="428">
        <f t="shared" si="120"/>
        <v>232856</v>
      </c>
      <c r="AG46" s="428">
        <f t="shared" si="120"/>
        <v>138355</v>
      </c>
      <c r="AH46" s="428">
        <f t="shared" ref="AH46:BC46" si="121">AH19+AH21+AH22</f>
        <v>83733</v>
      </c>
      <c r="AI46" s="428">
        <f t="shared" si="121"/>
        <v>85654</v>
      </c>
      <c r="AJ46" s="428">
        <f t="shared" si="121"/>
        <v>162995</v>
      </c>
      <c r="AK46" s="428">
        <f t="shared" si="121"/>
        <v>13053836</v>
      </c>
      <c r="AL46" s="428">
        <f t="shared" si="121"/>
        <v>338879</v>
      </c>
      <c r="AM46" s="428">
        <f t="shared" si="121"/>
        <v>87450</v>
      </c>
      <c r="AN46" s="428">
        <f t="shared" si="121"/>
        <v>75655</v>
      </c>
      <c r="AO46" s="428">
        <f t="shared" si="121"/>
        <v>1070817</v>
      </c>
      <c r="AP46" s="428">
        <f t="shared" si="121"/>
        <v>440528</v>
      </c>
      <c r="AQ46" s="428">
        <f t="shared" si="121"/>
        <v>722276</v>
      </c>
      <c r="AR46" s="428">
        <f t="shared" si="121"/>
        <v>172231</v>
      </c>
      <c r="AS46" s="428">
        <f t="shared" si="121"/>
        <v>3835677</v>
      </c>
      <c r="AT46" s="428">
        <f t="shared" si="121"/>
        <v>3773014</v>
      </c>
      <c r="AU46" s="428">
        <f t="shared" si="121"/>
        <v>413293</v>
      </c>
      <c r="AV46" s="428">
        <f t="shared" si="121"/>
        <v>702359</v>
      </c>
      <c r="AW46" s="428">
        <f t="shared" si="121"/>
        <v>56456</v>
      </c>
      <c r="AX46" s="428">
        <f t="shared" si="121"/>
        <v>143089</v>
      </c>
      <c r="AY46" s="428">
        <f t="shared" si="121"/>
        <v>1576428</v>
      </c>
      <c r="AZ46" s="428">
        <f t="shared" si="121"/>
        <v>16629</v>
      </c>
      <c r="BA46" s="428">
        <f t="shared" si="121"/>
        <v>34800</v>
      </c>
      <c r="BB46" s="428">
        <f t="shared" si="121"/>
        <v>205378</v>
      </c>
      <c r="BC46" s="428">
        <f t="shared" si="121"/>
        <v>61212884</v>
      </c>
      <c r="BD46" s="292"/>
      <c r="BE46" s="409" t="s">
        <v>761</v>
      </c>
      <c r="BF46" s="428">
        <f t="shared" ref="BF46:CK46" si="122">BF19+BF21+BF22</f>
        <v>20878724</v>
      </c>
      <c r="BG46" s="428">
        <f t="shared" si="122"/>
        <v>635360</v>
      </c>
      <c r="BH46" s="428">
        <f t="shared" si="122"/>
        <v>877639</v>
      </c>
      <c r="BI46" s="428">
        <f t="shared" si="122"/>
        <v>303411</v>
      </c>
      <c r="BJ46" s="428">
        <f t="shared" si="122"/>
        <v>337590</v>
      </c>
      <c r="BK46" s="428">
        <f t="shared" si="122"/>
        <v>451777</v>
      </c>
      <c r="BL46" s="428">
        <f t="shared" si="122"/>
        <v>2178648</v>
      </c>
      <c r="BM46" s="428">
        <f t="shared" si="122"/>
        <v>517417</v>
      </c>
      <c r="BN46" s="428">
        <f t="shared" si="122"/>
        <v>132333</v>
      </c>
      <c r="BO46" s="428">
        <f t="shared" si="122"/>
        <v>846240</v>
      </c>
      <c r="BP46" s="428">
        <f t="shared" si="122"/>
        <v>1087641</v>
      </c>
      <c r="BQ46" s="428">
        <f t="shared" si="122"/>
        <v>1256370</v>
      </c>
      <c r="BR46" s="428">
        <f t="shared" si="122"/>
        <v>562068</v>
      </c>
      <c r="BS46" s="428">
        <f t="shared" si="122"/>
        <v>213127</v>
      </c>
      <c r="BT46" s="428">
        <f t="shared" si="122"/>
        <v>2426034</v>
      </c>
      <c r="BU46" s="428">
        <f t="shared" si="122"/>
        <v>619212</v>
      </c>
      <c r="BV46" s="428">
        <f t="shared" si="122"/>
        <v>1031381</v>
      </c>
      <c r="BW46" s="428">
        <f t="shared" si="122"/>
        <v>7110213</v>
      </c>
      <c r="BX46" s="428">
        <f t="shared" si="122"/>
        <v>116693</v>
      </c>
      <c r="BY46" s="428">
        <f t="shared" si="122"/>
        <v>810930</v>
      </c>
      <c r="BZ46" s="428">
        <f t="shared" si="122"/>
        <v>3161420</v>
      </c>
      <c r="CA46" s="428">
        <f t="shared" si="122"/>
        <v>371299</v>
      </c>
      <c r="CB46" s="428">
        <f t="shared" si="122"/>
        <v>5267520</v>
      </c>
      <c r="CC46" s="428">
        <f t="shared" si="122"/>
        <v>665557</v>
      </c>
      <c r="CD46" s="428">
        <f t="shared" si="122"/>
        <v>406236</v>
      </c>
      <c r="CE46" s="428">
        <f t="shared" si="122"/>
        <v>182055</v>
      </c>
      <c r="CF46" s="428">
        <f t="shared" si="122"/>
        <v>89776</v>
      </c>
      <c r="CG46" s="428">
        <f t="shared" si="122"/>
        <v>15004</v>
      </c>
      <c r="CH46" s="428">
        <f t="shared" si="122"/>
        <v>345238</v>
      </c>
      <c r="CI46" s="428">
        <f t="shared" si="122"/>
        <v>746843</v>
      </c>
      <c r="CJ46" s="428">
        <f t="shared" si="122"/>
        <v>227659</v>
      </c>
      <c r="CK46" s="428">
        <f t="shared" si="122"/>
        <v>138355</v>
      </c>
      <c r="CL46" s="428">
        <f t="shared" ref="CL46:DG46" si="123">CL19+CL21+CL22</f>
        <v>80698</v>
      </c>
      <c r="CM46" s="428">
        <f t="shared" si="123"/>
        <v>85654</v>
      </c>
      <c r="CN46" s="428">
        <f t="shared" si="123"/>
        <v>161856</v>
      </c>
      <c r="CO46" s="428">
        <f t="shared" si="123"/>
        <v>11945170</v>
      </c>
      <c r="CP46" s="428">
        <f t="shared" si="123"/>
        <v>320293</v>
      </c>
      <c r="CQ46" s="428">
        <f t="shared" si="123"/>
        <v>87165</v>
      </c>
      <c r="CR46" s="428">
        <f t="shared" si="123"/>
        <v>74579</v>
      </c>
      <c r="CS46" s="428">
        <f t="shared" si="123"/>
        <v>1070817</v>
      </c>
      <c r="CT46" s="428">
        <f t="shared" si="123"/>
        <v>440528</v>
      </c>
      <c r="CU46" s="428">
        <f t="shared" si="123"/>
        <v>667949</v>
      </c>
      <c r="CV46" s="428">
        <f t="shared" si="123"/>
        <v>168630</v>
      </c>
      <c r="CW46" s="428">
        <f t="shared" si="123"/>
        <v>3307674</v>
      </c>
      <c r="CX46" s="428">
        <f t="shared" si="123"/>
        <v>2369429</v>
      </c>
      <c r="CY46" s="428">
        <f t="shared" si="123"/>
        <v>403481</v>
      </c>
      <c r="CZ46" s="428">
        <f t="shared" si="123"/>
        <v>510756</v>
      </c>
      <c r="DA46" s="428">
        <f t="shared" si="123"/>
        <v>47704</v>
      </c>
      <c r="DB46" s="428">
        <f t="shared" si="123"/>
        <v>39176</v>
      </c>
      <c r="DC46" s="428">
        <f t="shared" si="123"/>
        <v>850266</v>
      </c>
      <c r="DD46" s="428">
        <f t="shared" si="123"/>
        <v>16629</v>
      </c>
      <c r="DE46" s="428">
        <f t="shared" si="123"/>
        <v>33174</v>
      </c>
      <c r="DF46" s="428">
        <f t="shared" si="123"/>
        <v>176912</v>
      </c>
      <c r="DG46" s="428">
        <f t="shared" si="123"/>
        <v>44044416</v>
      </c>
      <c r="DH46" s="417"/>
      <c r="DI46" s="409" t="s">
        <v>761</v>
      </c>
      <c r="DJ46" s="428">
        <f t="shared" ref="DJ46:EO46" si="124">DJ19+DJ21+DJ22</f>
        <v>12925761</v>
      </c>
      <c r="DK46" s="428">
        <f t="shared" si="124"/>
        <v>54244</v>
      </c>
      <c r="DL46" s="428">
        <f t="shared" si="124"/>
        <v>169249</v>
      </c>
      <c r="DM46" s="428">
        <f t="shared" si="124"/>
        <v>52044</v>
      </c>
      <c r="DN46" s="428">
        <f t="shared" si="124"/>
        <v>64561</v>
      </c>
      <c r="DO46" s="428">
        <f t="shared" si="124"/>
        <v>41318</v>
      </c>
      <c r="DP46" s="428">
        <f t="shared" si="124"/>
        <v>566549</v>
      </c>
      <c r="DQ46" s="428">
        <f t="shared" si="124"/>
        <v>143693</v>
      </c>
      <c r="DR46" s="428">
        <f t="shared" si="124"/>
        <v>130748</v>
      </c>
      <c r="DS46" s="428">
        <f t="shared" si="124"/>
        <v>329194</v>
      </c>
      <c r="DT46" s="428">
        <f t="shared" si="124"/>
        <v>336422</v>
      </c>
      <c r="DU46" s="428">
        <f t="shared" si="124"/>
        <v>341669</v>
      </c>
      <c r="DV46" s="428">
        <f t="shared" si="124"/>
        <v>44132</v>
      </c>
      <c r="DW46" s="428">
        <f t="shared" si="124"/>
        <v>41252</v>
      </c>
      <c r="DX46" s="428">
        <f t="shared" si="124"/>
        <v>664106</v>
      </c>
      <c r="DY46" s="428">
        <f t="shared" si="124"/>
        <v>161710</v>
      </c>
      <c r="DZ46" s="428">
        <f t="shared" si="124"/>
        <v>276436</v>
      </c>
      <c r="EA46" s="428">
        <f t="shared" si="124"/>
        <v>8890360</v>
      </c>
      <c r="EB46" s="428">
        <f t="shared" si="124"/>
        <v>19966</v>
      </c>
      <c r="EC46" s="428">
        <f t="shared" si="124"/>
        <v>652352</v>
      </c>
      <c r="ED46" s="428">
        <f t="shared" si="124"/>
        <v>0</v>
      </c>
      <c r="EE46" s="428">
        <f t="shared" si="124"/>
        <v>302</v>
      </c>
      <c r="EF46" s="428">
        <f t="shared" si="124"/>
        <v>11627</v>
      </c>
      <c r="EG46" s="428">
        <f t="shared" si="124"/>
        <v>32797</v>
      </c>
      <c r="EH46" s="428">
        <f t="shared" si="124"/>
        <v>1024151</v>
      </c>
      <c r="EI46" s="428">
        <f t="shared" si="124"/>
        <v>12674</v>
      </c>
      <c r="EJ46" s="428">
        <f t="shared" si="124"/>
        <v>4412</v>
      </c>
      <c r="EK46" s="428">
        <f t="shared" si="124"/>
        <v>7117</v>
      </c>
      <c r="EL46" s="428">
        <f t="shared" si="124"/>
        <v>0</v>
      </c>
      <c r="EM46" s="428">
        <f t="shared" si="124"/>
        <v>6215</v>
      </c>
      <c r="EN46" s="428">
        <f t="shared" si="124"/>
        <v>5197</v>
      </c>
      <c r="EO46" s="428">
        <f t="shared" si="124"/>
        <v>0</v>
      </c>
      <c r="EP46" s="428">
        <f t="shared" ref="EP46:FK46" si="125">EP19+EP21+EP22</f>
        <v>3035</v>
      </c>
      <c r="EQ46" s="428">
        <f t="shared" si="125"/>
        <v>0</v>
      </c>
      <c r="ER46" s="428">
        <f t="shared" si="125"/>
        <v>1139</v>
      </c>
      <c r="ES46" s="428">
        <f t="shared" si="125"/>
        <v>1108666</v>
      </c>
      <c r="ET46" s="428">
        <f t="shared" si="125"/>
        <v>18586</v>
      </c>
      <c r="EU46" s="428">
        <f t="shared" si="125"/>
        <v>285</v>
      </c>
      <c r="EV46" s="428">
        <f t="shared" si="125"/>
        <v>1076</v>
      </c>
      <c r="EW46" s="428">
        <f t="shared" si="125"/>
        <v>0</v>
      </c>
      <c r="EX46" s="428">
        <f t="shared" si="125"/>
        <v>0</v>
      </c>
      <c r="EY46" s="428">
        <f t="shared" si="125"/>
        <v>54327</v>
      </c>
      <c r="EZ46" s="428">
        <f t="shared" si="125"/>
        <v>3601</v>
      </c>
      <c r="FA46" s="428">
        <f t="shared" si="125"/>
        <v>528003</v>
      </c>
      <c r="FB46" s="428">
        <f t="shared" si="125"/>
        <v>1403585</v>
      </c>
      <c r="FC46" s="428">
        <f t="shared" si="125"/>
        <v>9812</v>
      </c>
      <c r="FD46" s="428">
        <f t="shared" si="125"/>
        <v>191603</v>
      </c>
      <c r="FE46" s="428">
        <f t="shared" si="125"/>
        <v>8752</v>
      </c>
      <c r="FF46" s="428">
        <f t="shared" si="125"/>
        <v>103913</v>
      </c>
      <c r="FG46" s="428">
        <f t="shared" si="125"/>
        <v>726162</v>
      </c>
      <c r="FH46" s="428">
        <f t="shared" si="125"/>
        <v>0</v>
      </c>
      <c r="FI46" s="428">
        <f t="shared" si="125"/>
        <v>1626</v>
      </c>
      <c r="FJ46" s="428">
        <f t="shared" si="125"/>
        <v>28466</v>
      </c>
      <c r="FK46" s="428">
        <f t="shared" si="125"/>
        <v>17168468</v>
      </c>
    </row>
    <row r="47" spans="1:167" s="429" customFormat="1" x14ac:dyDescent="0.35">
      <c r="A47" s="409" t="s">
        <v>762</v>
      </c>
      <c r="B47" s="428">
        <f t="shared" ref="B47:AG47" si="126">B41+B43+B44+B45</f>
        <v>15484370</v>
      </c>
      <c r="C47" s="428">
        <f t="shared" si="126"/>
        <v>152409</v>
      </c>
      <c r="D47" s="428">
        <f t="shared" si="126"/>
        <v>266627</v>
      </c>
      <c r="E47" s="428">
        <f t="shared" si="126"/>
        <v>74218</v>
      </c>
      <c r="F47" s="428">
        <f t="shared" si="126"/>
        <v>106917</v>
      </c>
      <c r="G47" s="428">
        <f t="shared" si="126"/>
        <v>136176</v>
      </c>
      <c r="H47" s="428">
        <f t="shared" si="126"/>
        <v>1061410</v>
      </c>
      <c r="I47" s="428">
        <f t="shared" si="126"/>
        <v>215946</v>
      </c>
      <c r="J47" s="428">
        <f t="shared" si="126"/>
        <v>144766</v>
      </c>
      <c r="K47" s="428">
        <f t="shared" si="126"/>
        <v>417222</v>
      </c>
      <c r="L47" s="428">
        <f t="shared" si="126"/>
        <v>403724</v>
      </c>
      <c r="M47" s="428">
        <f t="shared" si="126"/>
        <v>571010</v>
      </c>
      <c r="N47" s="428">
        <f t="shared" si="126"/>
        <v>110778</v>
      </c>
      <c r="O47" s="428">
        <f t="shared" si="126"/>
        <v>57715</v>
      </c>
      <c r="P47" s="428">
        <f t="shared" si="126"/>
        <v>1075138</v>
      </c>
      <c r="Q47" s="428">
        <f t="shared" si="126"/>
        <v>336938</v>
      </c>
      <c r="R47" s="428">
        <f t="shared" si="126"/>
        <v>455193</v>
      </c>
      <c r="S47" s="428">
        <f t="shared" si="126"/>
        <v>9052059</v>
      </c>
      <c r="T47" s="428">
        <f t="shared" si="126"/>
        <v>65430</v>
      </c>
      <c r="U47" s="428">
        <f t="shared" si="126"/>
        <v>933103</v>
      </c>
      <c r="V47" s="428">
        <f t="shared" si="126"/>
        <v>321137</v>
      </c>
      <c r="W47" s="428">
        <f t="shared" si="126"/>
        <v>9643</v>
      </c>
      <c r="X47" s="428">
        <f t="shared" si="126"/>
        <v>282312</v>
      </c>
      <c r="Y47" s="428">
        <f t="shared" si="126"/>
        <v>56404</v>
      </c>
      <c r="Z47" s="428">
        <f t="shared" si="126"/>
        <v>1068193</v>
      </c>
      <c r="AA47" s="428">
        <f t="shared" si="126"/>
        <v>60941</v>
      </c>
      <c r="AB47" s="428">
        <f t="shared" si="126"/>
        <v>23870</v>
      </c>
      <c r="AC47" s="428">
        <f t="shared" si="126"/>
        <v>10845</v>
      </c>
      <c r="AD47" s="428">
        <f t="shared" si="126"/>
        <v>25184</v>
      </c>
      <c r="AE47" s="428">
        <f t="shared" si="126"/>
        <v>155735</v>
      </c>
      <c r="AF47" s="428">
        <f t="shared" si="126"/>
        <v>50307</v>
      </c>
      <c r="AG47" s="428">
        <f t="shared" si="126"/>
        <v>17269</v>
      </c>
      <c r="AH47" s="428">
        <f t="shared" ref="AH47:BC47" si="127">AH41+AH43+AH44+AH45</f>
        <v>13294</v>
      </c>
      <c r="AI47" s="428">
        <f t="shared" si="127"/>
        <v>11657</v>
      </c>
      <c r="AJ47" s="428">
        <f t="shared" si="127"/>
        <v>18735</v>
      </c>
      <c r="AK47" s="428">
        <f t="shared" si="127"/>
        <v>2125526</v>
      </c>
      <c r="AL47" s="428">
        <f t="shared" si="127"/>
        <v>86990</v>
      </c>
      <c r="AM47" s="428">
        <f t="shared" si="127"/>
        <v>87228</v>
      </c>
      <c r="AN47" s="428">
        <f t="shared" si="127"/>
        <v>24780</v>
      </c>
      <c r="AO47" s="428">
        <f t="shared" si="127"/>
        <v>279851</v>
      </c>
      <c r="AP47" s="428">
        <f t="shared" si="127"/>
        <v>131570</v>
      </c>
      <c r="AQ47" s="428">
        <f t="shared" si="127"/>
        <v>302487</v>
      </c>
      <c r="AR47" s="428">
        <f t="shared" si="127"/>
        <v>170397</v>
      </c>
      <c r="AS47" s="428">
        <f t="shared" si="127"/>
        <v>4086503</v>
      </c>
      <c r="AT47" s="428">
        <f t="shared" si="127"/>
        <v>3310133</v>
      </c>
      <c r="AU47" s="428">
        <f t="shared" si="127"/>
        <v>97601</v>
      </c>
      <c r="AV47" s="428">
        <f t="shared" si="127"/>
        <v>895868</v>
      </c>
      <c r="AW47" s="428">
        <f t="shared" si="127"/>
        <v>62023</v>
      </c>
      <c r="AX47" s="428">
        <f t="shared" si="127"/>
        <v>157637</v>
      </c>
      <c r="AY47" s="428">
        <f t="shared" si="127"/>
        <v>1186581</v>
      </c>
      <c r="AZ47" s="428">
        <f t="shared" si="127"/>
        <v>19292</v>
      </c>
      <c r="BA47" s="428">
        <f t="shared" si="127"/>
        <v>73625</v>
      </c>
      <c r="BB47" s="428">
        <f t="shared" si="127"/>
        <v>1235899</v>
      </c>
      <c r="BC47" s="428">
        <f t="shared" si="127"/>
        <v>29970770</v>
      </c>
      <c r="BD47" s="292"/>
      <c r="BE47" s="409" t="s">
        <v>762</v>
      </c>
      <c r="BF47" s="428">
        <f t="shared" ref="BF47:CK47" si="128">BF41+BF43+BF44+BF45</f>
        <v>2622026</v>
      </c>
      <c r="BG47" s="428">
        <f t="shared" si="128"/>
        <v>89034</v>
      </c>
      <c r="BH47" s="428">
        <f t="shared" si="128"/>
        <v>105280</v>
      </c>
      <c r="BI47" s="428">
        <f t="shared" si="128"/>
        <v>25736</v>
      </c>
      <c r="BJ47" s="428">
        <f t="shared" si="128"/>
        <v>42537</v>
      </c>
      <c r="BK47" s="428">
        <f t="shared" si="128"/>
        <v>98681</v>
      </c>
      <c r="BL47" s="428">
        <f t="shared" si="128"/>
        <v>486486</v>
      </c>
      <c r="BM47" s="428">
        <f t="shared" si="128"/>
        <v>68857</v>
      </c>
      <c r="BN47" s="428">
        <f t="shared" si="128"/>
        <v>10681</v>
      </c>
      <c r="BO47" s="428">
        <f t="shared" si="128"/>
        <v>83116</v>
      </c>
      <c r="BP47" s="428">
        <f t="shared" si="128"/>
        <v>87580</v>
      </c>
      <c r="BQ47" s="428">
        <f t="shared" si="128"/>
        <v>231349</v>
      </c>
      <c r="BR47" s="428">
        <f t="shared" si="128"/>
        <v>66856</v>
      </c>
      <c r="BS47" s="428">
        <f t="shared" si="128"/>
        <v>17725</v>
      </c>
      <c r="BT47" s="428">
        <f t="shared" si="128"/>
        <v>405392</v>
      </c>
      <c r="BU47" s="428">
        <f t="shared" si="128"/>
        <v>170952</v>
      </c>
      <c r="BV47" s="428">
        <f t="shared" si="128"/>
        <v>171918</v>
      </c>
      <c r="BW47" s="428">
        <f t="shared" si="128"/>
        <v>221458</v>
      </c>
      <c r="BX47" s="428">
        <f t="shared" si="128"/>
        <v>43980</v>
      </c>
      <c r="BY47" s="428">
        <f t="shared" si="128"/>
        <v>283442</v>
      </c>
      <c r="BZ47" s="428">
        <f t="shared" si="128"/>
        <v>321137</v>
      </c>
      <c r="CA47" s="428">
        <f t="shared" si="128"/>
        <v>9458</v>
      </c>
      <c r="CB47" s="428">
        <f t="shared" si="128"/>
        <v>269287</v>
      </c>
      <c r="CC47" s="428">
        <f t="shared" si="128"/>
        <v>25360</v>
      </c>
      <c r="CD47" s="428">
        <f t="shared" si="128"/>
        <v>33293</v>
      </c>
      <c r="CE47" s="428">
        <f t="shared" si="128"/>
        <v>47951</v>
      </c>
      <c r="CF47" s="428">
        <f t="shared" si="128"/>
        <v>19304</v>
      </c>
      <c r="CG47" s="428">
        <f t="shared" si="128"/>
        <v>3104</v>
      </c>
      <c r="CH47" s="428">
        <f t="shared" si="128"/>
        <v>25184</v>
      </c>
      <c r="CI47" s="428">
        <f t="shared" si="128"/>
        <v>149508</v>
      </c>
      <c r="CJ47" s="428">
        <f t="shared" si="128"/>
        <v>44983</v>
      </c>
      <c r="CK47" s="428">
        <f t="shared" si="128"/>
        <v>17269</v>
      </c>
      <c r="CL47" s="428">
        <f t="shared" ref="CL47:DG47" si="129">CL41+CL43+CL44+CL45</f>
        <v>10186</v>
      </c>
      <c r="CM47" s="428">
        <f t="shared" si="129"/>
        <v>11657</v>
      </c>
      <c r="CN47" s="428">
        <f t="shared" si="129"/>
        <v>17550</v>
      </c>
      <c r="CO47" s="428">
        <f t="shared" si="129"/>
        <v>1005231</v>
      </c>
      <c r="CP47" s="428">
        <f t="shared" si="129"/>
        <v>74264</v>
      </c>
      <c r="CQ47" s="428">
        <f t="shared" si="129"/>
        <v>86997</v>
      </c>
      <c r="CR47" s="428">
        <f t="shared" si="129"/>
        <v>23668</v>
      </c>
      <c r="CS47" s="428">
        <f t="shared" si="129"/>
        <v>279851</v>
      </c>
      <c r="CT47" s="428">
        <f t="shared" si="129"/>
        <v>131570</v>
      </c>
      <c r="CU47" s="428">
        <f t="shared" si="129"/>
        <v>247597</v>
      </c>
      <c r="CV47" s="428">
        <f t="shared" si="129"/>
        <v>166752</v>
      </c>
      <c r="CW47" s="428">
        <f t="shared" si="129"/>
        <v>3544289</v>
      </c>
      <c r="CX47" s="428">
        <f t="shared" si="129"/>
        <v>1919288</v>
      </c>
      <c r="CY47" s="428">
        <f t="shared" si="129"/>
        <v>87615</v>
      </c>
      <c r="CZ47" s="428">
        <f t="shared" si="129"/>
        <v>621149</v>
      </c>
      <c r="DA47" s="428">
        <f t="shared" si="129"/>
        <v>51966</v>
      </c>
      <c r="DB47" s="428">
        <f t="shared" si="129"/>
        <v>35426</v>
      </c>
      <c r="DC47" s="428">
        <f t="shared" si="129"/>
        <v>458564</v>
      </c>
      <c r="DD47" s="428">
        <f t="shared" si="129"/>
        <v>19292</v>
      </c>
      <c r="DE47" s="428">
        <f t="shared" si="129"/>
        <v>72318</v>
      </c>
      <c r="DF47" s="428">
        <f t="shared" si="129"/>
        <v>1208909</v>
      </c>
      <c r="DG47" s="428">
        <f t="shared" si="129"/>
        <v>12745806</v>
      </c>
      <c r="DH47" s="417"/>
      <c r="DI47" s="409" t="s">
        <v>762</v>
      </c>
      <c r="DJ47" s="428">
        <f t="shared" ref="DJ47:EO47" si="130">DJ41+DJ43+DJ44+DJ45</f>
        <v>12862344</v>
      </c>
      <c r="DK47" s="428">
        <f t="shared" si="130"/>
        <v>63375</v>
      </c>
      <c r="DL47" s="428">
        <f t="shared" si="130"/>
        <v>161347</v>
      </c>
      <c r="DM47" s="428">
        <f t="shared" si="130"/>
        <v>48482</v>
      </c>
      <c r="DN47" s="428">
        <f t="shared" si="130"/>
        <v>64380</v>
      </c>
      <c r="DO47" s="428">
        <f t="shared" si="130"/>
        <v>37495</v>
      </c>
      <c r="DP47" s="428">
        <f t="shared" si="130"/>
        <v>574924</v>
      </c>
      <c r="DQ47" s="428">
        <f t="shared" si="130"/>
        <v>147089</v>
      </c>
      <c r="DR47" s="428">
        <f t="shared" si="130"/>
        <v>134085</v>
      </c>
      <c r="DS47" s="428">
        <f t="shared" si="130"/>
        <v>334106</v>
      </c>
      <c r="DT47" s="428">
        <f t="shared" si="130"/>
        <v>316144</v>
      </c>
      <c r="DU47" s="428">
        <f t="shared" si="130"/>
        <v>339661</v>
      </c>
      <c r="DV47" s="428">
        <f t="shared" si="130"/>
        <v>43922</v>
      </c>
      <c r="DW47" s="428">
        <f t="shared" si="130"/>
        <v>39990</v>
      </c>
      <c r="DX47" s="428">
        <f t="shared" si="130"/>
        <v>669746</v>
      </c>
      <c r="DY47" s="428">
        <f t="shared" si="130"/>
        <v>165986</v>
      </c>
      <c r="DZ47" s="428">
        <f t="shared" si="130"/>
        <v>283275</v>
      </c>
      <c r="EA47" s="428">
        <f t="shared" si="130"/>
        <v>8830601</v>
      </c>
      <c r="EB47" s="428">
        <f t="shared" si="130"/>
        <v>21450</v>
      </c>
      <c r="EC47" s="428">
        <f t="shared" si="130"/>
        <v>649661</v>
      </c>
      <c r="ED47" s="428">
        <f t="shared" si="130"/>
        <v>0</v>
      </c>
      <c r="EE47" s="428">
        <f t="shared" si="130"/>
        <v>185</v>
      </c>
      <c r="EF47" s="428">
        <f t="shared" si="130"/>
        <v>13025</v>
      </c>
      <c r="EG47" s="428">
        <f t="shared" si="130"/>
        <v>31044</v>
      </c>
      <c r="EH47" s="428">
        <f t="shared" si="130"/>
        <v>1034900</v>
      </c>
      <c r="EI47" s="428">
        <f t="shared" si="130"/>
        <v>12990</v>
      </c>
      <c r="EJ47" s="428">
        <f t="shared" si="130"/>
        <v>4566</v>
      </c>
      <c r="EK47" s="428">
        <f t="shared" si="130"/>
        <v>7741</v>
      </c>
      <c r="EL47" s="428">
        <f t="shared" si="130"/>
        <v>0</v>
      </c>
      <c r="EM47" s="428">
        <f t="shared" si="130"/>
        <v>6227</v>
      </c>
      <c r="EN47" s="428">
        <f t="shared" si="130"/>
        <v>5324</v>
      </c>
      <c r="EO47" s="428">
        <f t="shared" si="130"/>
        <v>0</v>
      </c>
      <c r="EP47" s="428">
        <f t="shared" ref="EP47:FK47" si="131">EP41+EP43+EP44+EP45</f>
        <v>3108</v>
      </c>
      <c r="EQ47" s="428">
        <f t="shared" si="131"/>
        <v>0</v>
      </c>
      <c r="ER47" s="428">
        <f t="shared" si="131"/>
        <v>1185</v>
      </c>
      <c r="ES47" s="428">
        <f t="shared" si="131"/>
        <v>1120295</v>
      </c>
      <c r="ET47" s="428">
        <f t="shared" si="131"/>
        <v>12726</v>
      </c>
      <c r="EU47" s="428">
        <f t="shared" si="131"/>
        <v>231</v>
      </c>
      <c r="EV47" s="428">
        <f t="shared" si="131"/>
        <v>1112</v>
      </c>
      <c r="EW47" s="428">
        <f t="shared" si="131"/>
        <v>0</v>
      </c>
      <c r="EX47" s="428">
        <f t="shared" si="131"/>
        <v>0</v>
      </c>
      <c r="EY47" s="428">
        <f t="shared" si="131"/>
        <v>54890</v>
      </c>
      <c r="EZ47" s="428">
        <f t="shared" si="131"/>
        <v>3645</v>
      </c>
      <c r="FA47" s="428">
        <f t="shared" si="131"/>
        <v>542214</v>
      </c>
      <c r="FB47" s="428">
        <f t="shared" si="131"/>
        <v>1390845</v>
      </c>
      <c r="FC47" s="428">
        <f t="shared" si="131"/>
        <v>9986</v>
      </c>
      <c r="FD47" s="428">
        <f t="shared" si="131"/>
        <v>274719</v>
      </c>
      <c r="FE47" s="428">
        <f t="shared" si="131"/>
        <v>10057</v>
      </c>
      <c r="FF47" s="428">
        <f t="shared" si="131"/>
        <v>122211</v>
      </c>
      <c r="FG47" s="428">
        <f t="shared" si="131"/>
        <v>728017</v>
      </c>
      <c r="FH47" s="428">
        <f t="shared" si="131"/>
        <v>0</v>
      </c>
      <c r="FI47" s="428">
        <f t="shared" si="131"/>
        <v>1307</v>
      </c>
      <c r="FJ47" s="428">
        <f t="shared" si="131"/>
        <v>26990</v>
      </c>
      <c r="FK47" s="428">
        <f t="shared" si="131"/>
        <v>17224964</v>
      </c>
    </row>
    <row r="48" spans="1:167" s="429" customFormat="1" x14ac:dyDescent="0.35">
      <c r="A48" s="409" t="s">
        <v>763</v>
      </c>
      <c r="B48" s="428">
        <f t="shared" ref="B48:AG48" si="132">B46-B47</f>
        <v>18320115</v>
      </c>
      <c r="C48" s="428">
        <f t="shared" si="132"/>
        <v>537195</v>
      </c>
      <c r="D48" s="428">
        <f t="shared" si="132"/>
        <v>780261</v>
      </c>
      <c r="E48" s="428">
        <f t="shared" si="132"/>
        <v>281237</v>
      </c>
      <c r="F48" s="428">
        <f t="shared" si="132"/>
        <v>295234</v>
      </c>
      <c r="G48" s="428">
        <f t="shared" si="132"/>
        <v>356919</v>
      </c>
      <c r="H48" s="428">
        <f t="shared" si="132"/>
        <v>1683787</v>
      </c>
      <c r="I48" s="428">
        <f t="shared" si="132"/>
        <v>445164</v>
      </c>
      <c r="J48" s="428">
        <f t="shared" si="132"/>
        <v>118315</v>
      </c>
      <c r="K48" s="428">
        <f t="shared" si="132"/>
        <v>758212</v>
      </c>
      <c r="L48" s="428">
        <f t="shared" si="132"/>
        <v>1020339</v>
      </c>
      <c r="M48" s="428">
        <f t="shared" si="132"/>
        <v>1027029</v>
      </c>
      <c r="N48" s="428">
        <f t="shared" si="132"/>
        <v>495422</v>
      </c>
      <c r="O48" s="428">
        <f t="shared" si="132"/>
        <v>196664</v>
      </c>
      <c r="P48" s="428">
        <f t="shared" si="132"/>
        <v>2015002</v>
      </c>
      <c r="Q48" s="428">
        <f t="shared" si="132"/>
        <v>443984</v>
      </c>
      <c r="R48" s="428">
        <f t="shared" si="132"/>
        <v>852624</v>
      </c>
      <c r="S48" s="428">
        <f t="shared" si="132"/>
        <v>6948514</v>
      </c>
      <c r="T48" s="428">
        <f t="shared" si="132"/>
        <v>71229</v>
      </c>
      <c r="U48" s="428">
        <f t="shared" si="132"/>
        <v>530179</v>
      </c>
      <c r="V48" s="428">
        <f t="shared" si="132"/>
        <v>2840283</v>
      </c>
      <c r="W48" s="428">
        <f t="shared" si="132"/>
        <v>361958</v>
      </c>
      <c r="X48" s="428">
        <f t="shared" si="132"/>
        <v>4996835</v>
      </c>
      <c r="Y48" s="428">
        <f t="shared" si="132"/>
        <v>641950</v>
      </c>
      <c r="Z48" s="428">
        <f t="shared" si="132"/>
        <v>362194</v>
      </c>
      <c r="AA48" s="428">
        <f t="shared" si="132"/>
        <v>133788</v>
      </c>
      <c r="AB48" s="428">
        <f t="shared" si="132"/>
        <v>70318</v>
      </c>
      <c r="AC48" s="428">
        <f t="shared" si="132"/>
        <v>11276</v>
      </c>
      <c r="AD48" s="428">
        <f t="shared" si="132"/>
        <v>320054</v>
      </c>
      <c r="AE48" s="428">
        <f t="shared" si="132"/>
        <v>597323</v>
      </c>
      <c r="AF48" s="428">
        <f t="shared" si="132"/>
        <v>182549</v>
      </c>
      <c r="AG48" s="428">
        <f t="shared" si="132"/>
        <v>121086</v>
      </c>
      <c r="AH48" s="428">
        <f t="shared" ref="AH48:BC48" si="133">AH46-AH47</f>
        <v>70439</v>
      </c>
      <c r="AI48" s="428">
        <f t="shared" si="133"/>
        <v>73997</v>
      </c>
      <c r="AJ48" s="428">
        <f t="shared" si="133"/>
        <v>144260</v>
      </c>
      <c r="AK48" s="428">
        <f t="shared" si="133"/>
        <v>10928310</v>
      </c>
      <c r="AL48" s="428">
        <f t="shared" si="133"/>
        <v>251889</v>
      </c>
      <c r="AM48" s="428">
        <f t="shared" si="133"/>
        <v>222</v>
      </c>
      <c r="AN48" s="428">
        <f t="shared" si="133"/>
        <v>50875</v>
      </c>
      <c r="AO48" s="428">
        <f t="shared" si="133"/>
        <v>790966</v>
      </c>
      <c r="AP48" s="428">
        <f t="shared" si="133"/>
        <v>308958</v>
      </c>
      <c r="AQ48" s="428">
        <f t="shared" si="133"/>
        <v>419789</v>
      </c>
      <c r="AR48" s="428">
        <f t="shared" si="133"/>
        <v>1834</v>
      </c>
      <c r="AS48" s="428">
        <f t="shared" si="133"/>
        <v>-250826</v>
      </c>
      <c r="AT48" s="428">
        <f t="shared" si="133"/>
        <v>462881</v>
      </c>
      <c r="AU48" s="428">
        <f t="shared" si="133"/>
        <v>315692</v>
      </c>
      <c r="AV48" s="428">
        <f t="shared" si="133"/>
        <v>-193509</v>
      </c>
      <c r="AW48" s="428">
        <f t="shared" si="133"/>
        <v>-5567</v>
      </c>
      <c r="AX48" s="428">
        <f t="shared" si="133"/>
        <v>-14548</v>
      </c>
      <c r="AY48" s="428">
        <f t="shared" si="133"/>
        <v>389847</v>
      </c>
      <c r="AZ48" s="428">
        <f t="shared" si="133"/>
        <v>-2663</v>
      </c>
      <c r="BA48" s="428">
        <f t="shared" si="133"/>
        <v>-38825</v>
      </c>
      <c r="BB48" s="428">
        <f t="shared" si="133"/>
        <v>-1030521</v>
      </c>
      <c r="BC48" s="428">
        <f t="shared" si="133"/>
        <v>31242114</v>
      </c>
      <c r="BD48" s="292"/>
      <c r="BE48" s="409" t="s">
        <v>763</v>
      </c>
      <c r="BF48" s="428">
        <f t="shared" ref="BF48:CK48" si="134">BF46-BF47</f>
        <v>18256698</v>
      </c>
      <c r="BG48" s="428">
        <f t="shared" si="134"/>
        <v>546326</v>
      </c>
      <c r="BH48" s="428">
        <f t="shared" si="134"/>
        <v>772359</v>
      </c>
      <c r="BI48" s="428">
        <f t="shared" si="134"/>
        <v>277675</v>
      </c>
      <c r="BJ48" s="428">
        <f t="shared" si="134"/>
        <v>295053</v>
      </c>
      <c r="BK48" s="428">
        <f t="shared" si="134"/>
        <v>353096</v>
      </c>
      <c r="BL48" s="428">
        <f t="shared" si="134"/>
        <v>1692162</v>
      </c>
      <c r="BM48" s="428">
        <f t="shared" si="134"/>
        <v>448560</v>
      </c>
      <c r="BN48" s="428">
        <f t="shared" si="134"/>
        <v>121652</v>
      </c>
      <c r="BO48" s="428">
        <f t="shared" si="134"/>
        <v>763124</v>
      </c>
      <c r="BP48" s="428">
        <f t="shared" si="134"/>
        <v>1000061</v>
      </c>
      <c r="BQ48" s="428">
        <f t="shared" si="134"/>
        <v>1025021</v>
      </c>
      <c r="BR48" s="428">
        <f t="shared" si="134"/>
        <v>495212</v>
      </c>
      <c r="BS48" s="428">
        <f t="shared" si="134"/>
        <v>195402</v>
      </c>
      <c r="BT48" s="428">
        <f t="shared" si="134"/>
        <v>2020642</v>
      </c>
      <c r="BU48" s="428">
        <f t="shared" si="134"/>
        <v>448260</v>
      </c>
      <c r="BV48" s="428">
        <f t="shared" si="134"/>
        <v>859463</v>
      </c>
      <c r="BW48" s="428">
        <f t="shared" si="134"/>
        <v>6888755</v>
      </c>
      <c r="BX48" s="428">
        <f t="shared" si="134"/>
        <v>72713</v>
      </c>
      <c r="BY48" s="428">
        <f t="shared" si="134"/>
        <v>527488</v>
      </c>
      <c r="BZ48" s="428">
        <f t="shared" si="134"/>
        <v>2840283</v>
      </c>
      <c r="CA48" s="428">
        <f t="shared" si="134"/>
        <v>361841</v>
      </c>
      <c r="CB48" s="428">
        <f t="shared" si="134"/>
        <v>4998233</v>
      </c>
      <c r="CC48" s="428">
        <f t="shared" si="134"/>
        <v>640197</v>
      </c>
      <c r="CD48" s="428">
        <f t="shared" si="134"/>
        <v>372943</v>
      </c>
      <c r="CE48" s="428">
        <f t="shared" si="134"/>
        <v>134104</v>
      </c>
      <c r="CF48" s="428">
        <f t="shared" si="134"/>
        <v>70472</v>
      </c>
      <c r="CG48" s="428">
        <f t="shared" si="134"/>
        <v>11900</v>
      </c>
      <c r="CH48" s="428">
        <f t="shared" si="134"/>
        <v>320054</v>
      </c>
      <c r="CI48" s="428">
        <f t="shared" si="134"/>
        <v>597335</v>
      </c>
      <c r="CJ48" s="428">
        <f t="shared" si="134"/>
        <v>182676</v>
      </c>
      <c r="CK48" s="428">
        <f t="shared" si="134"/>
        <v>121086</v>
      </c>
      <c r="CL48" s="428">
        <f t="shared" ref="CL48:DG48" si="135">CL46-CL47</f>
        <v>70512</v>
      </c>
      <c r="CM48" s="428">
        <f t="shared" si="135"/>
        <v>73997</v>
      </c>
      <c r="CN48" s="428">
        <f t="shared" si="135"/>
        <v>144306</v>
      </c>
      <c r="CO48" s="428">
        <f t="shared" si="135"/>
        <v>10939939</v>
      </c>
      <c r="CP48" s="428">
        <f t="shared" si="135"/>
        <v>246029</v>
      </c>
      <c r="CQ48" s="428">
        <f t="shared" si="135"/>
        <v>168</v>
      </c>
      <c r="CR48" s="428">
        <f t="shared" si="135"/>
        <v>50911</v>
      </c>
      <c r="CS48" s="428">
        <f t="shared" si="135"/>
        <v>790966</v>
      </c>
      <c r="CT48" s="428">
        <f t="shared" si="135"/>
        <v>308958</v>
      </c>
      <c r="CU48" s="428">
        <f t="shared" si="135"/>
        <v>420352</v>
      </c>
      <c r="CV48" s="428">
        <f t="shared" si="135"/>
        <v>1878</v>
      </c>
      <c r="CW48" s="428">
        <f t="shared" si="135"/>
        <v>-236615</v>
      </c>
      <c r="CX48" s="428">
        <f t="shared" si="135"/>
        <v>450141</v>
      </c>
      <c r="CY48" s="428">
        <f t="shared" si="135"/>
        <v>315866</v>
      </c>
      <c r="CZ48" s="428">
        <f t="shared" si="135"/>
        <v>-110393</v>
      </c>
      <c r="DA48" s="428">
        <f t="shared" si="135"/>
        <v>-4262</v>
      </c>
      <c r="DB48" s="428">
        <f t="shared" si="135"/>
        <v>3750</v>
      </c>
      <c r="DC48" s="428">
        <f t="shared" si="135"/>
        <v>391702</v>
      </c>
      <c r="DD48" s="428">
        <f t="shared" si="135"/>
        <v>-2663</v>
      </c>
      <c r="DE48" s="428">
        <f t="shared" si="135"/>
        <v>-39144</v>
      </c>
      <c r="DF48" s="428">
        <f t="shared" si="135"/>
        <v>-1031997</v>
      </c>
      <c r="DG48" s="428">
        <f t="shared" si="135"/>
        <v>31298610</v>
      </c>
      <c r="DH48" s="417"/>
      <c r="DI48" s="409" t="s">
        <v>763</v>
      </c>
      <c r="DJ48" s="428">
        <f t="shared" ref="DJ48:EO48" si="136">DJ46-DJ47</f>
        <v>63417</v>
      </c>
      <c r="DK48" s="428">
        <f t="shared" si="136"/>
        <v>-9131</v>
      </c>
      <c r="DL48" s="428">
        <f t="shared" si="136"/>
        <v>7902</v>
      </c>
      <c r="DM48" s="428">
        <f t="shared" si="136"/>
        <v>3562</v>
      </c>
      <c r="DN48" s="428">
        <f t="shared" si="136"/>
        <v>181</v>
      </c>
      <c r="DO48" s="428">
        <f t="shared" si="136"/>
        <v>3823</v>
      </c>
      <c r="DP48" s="428">
        <f t="shared" si="136"/>
        <v>-8375</v>
      </c>
      <c r="DQ48" s="428">
        <f t="shared" si="136"/>
        <v>-3396</v>
      </c>
      <c r="DR48" s="428">
        <f t="shared" si="136"/>
        <v>-3337</v>
      </c>
      <c r="DS48" s="428">
        <f t="shared" si="136"/>
        <v>-4912</v>
      </c>
      <c r="DT48" s="428">
        <f t="shared" si="136"/>
        <v>20278</v>
      </c>
      <c r="DU48" s="428">
        <f t="shared" si="136"/>
        <v>2008</v>
      </c>
      <c r="DV48" s="428">
        <f t="shared" si="136"/>
        <v>210</v>
      </c>
      <c r="DW48" s="428">
        <f t="shared" si="136"/>
        <v>1262</v>
      </c>
      <c r="DX48" s="428">
        <f t="shared" si="136"/>
        <v>-5640</v>
      </c>
      <c r="DY48" s="428">
        <f t="shared" si="136"/>
        <v>-4276</v>
      </c>
      <c r="DZ48" s="428">
        <f t="shared" si="136"/>
        <v>-6839</v>
      </c>
      <c r="EA48" s="428">
        <f t="shared" si="136"/>
        <v>59759</v>
      </c>
      <c r="EB48" s="428">
        <f t="shared" si="136"/>
        <v>-1484</v>
      </c>
      <c r="EC48" s="428">
        <f t="shared" si="136"/>
        <v>2691</v>
      </c>
      <c r="ED48" s="428">
        <f t="shared" si="136"/>
        <v>0</v>
      </c>
      <c r="EE48" s="428">
        <f t="shared" si="136"/>
        <v>117</v>
      </c>
      <c r="EF48" s="428">
        <f t="shared" si="136"/>
        <v>-1398</v>
      </c>
      <c r="EG48" s="428">
        <f t="shared" si="136"/>
        <v>1753</v>
      </c>
      <c r="EH48" s="428">
        <f t="shared" si="136"/>
        <v>-10749</v>
      </c>
      <c r="EI48" s="428">
        <f t="shared" si="136"/>
        <v>-316</v>
      </c>
      <c r="EJ48" s="428">
        <f t="shared" si="136"/>
        <v>-154</v>
      </c>
      <c r="EK48" s="428">
        <f t="shared" si="136"/>
        <v>-624</v>
      </c>
      <c r="EL48" s="428">
        <f t="shared" si="136"/>
        <v>0</v>
      </c>
      <c r="EM48" s="428">
        <f t="shared" si="136"/>
        <v>-12</v>
      </c>
      <c r="EN48" s="428">
        <f t="shared" si="136"/>
        <v>-127</v>
      </c>
      <c r="EO48" s="428">
        <f t="shared" si="136"/>
        <v>0</v>
      </c>
      <c r="EP48" s="428">
        <f t="shared" ref="EP48:FK48" si="137">EP46-EP47</f>
        <v>-73</v>
      </c>
      <c r="EQ48" s="428">
        <f t="shared" si="137"/>
        <v>0</v>
      </c>
      <c r="ER48" s="428">
        <f t="shared" si="137"/>
        <v>-46</v>
      </c>
      <c r="ES48" s="428">
        <f t="shared" si="137"/>
        <v>-11629</v>
      </c>
      <c r="ET48" s="428">
        <f t="shared" si="137"/>
        <v>5860</v>
      </c>
      <c r="EU48" s="428">
        <f t="shared" si="137"/>
        <v>54</v>
      </c>
      <c r="EV48" s="428">
        <f t="shared" si="137"/>
        <v>-36</v>
      </c>
      <c r="EW48" s="428">
        <f t="shared" si="137"/>
        <v>0</v>
      </c>
      <c r="EX48" s="428">
        <f t="shared" si="137"/>
        <v>0</v>
      </c>
      <c r="EY48" s="428">
        <f t="shared" si="137"/>
        <v>-563</v>
      </c>
      <c r="EZ48" s="428">
        <f t="shared" si="137"/>
        <v>-44</v>
      </c>
      <c r="FA48" s="428">
        <f t="shared" si="137"/>
        <v>-14211</v>
      </c>
      <c r="FB48" s="428">
        <f t="shared" si="137"/>
        <v>12740</v>
      </c>
      <c r="FC48" s="428">
        <f t="shared" si="137"/>
        <v>-174</v>
      </c>
      <c r="FD48" s="428">
        <f t="shared" si="137"/>
        <v>-83116</v>
      </c>
      <c r="FE48" s="428">
        <f t="shared" si="137"/>
        <v>-1305</v>
      </c>
      <c r="FF48" s="428">
        <f t="shared" si="137"/>
        <v>-18298</v>
      </c>
      <c r="FG48" s="428">
        <f t="shared" si="137"/>
        <v>-1855</v>
      </c>
      <c r="FH48" s="428">
        <f t="shared" si="137"/>
        <v>0</v>
      </c>
      <c r="FI48" s="428">
        <f t="shared" si="137"/>
        <v>319</v>
      </c>
      <c r="FJ48" s="428">
        <f t="shared" si="137"/>
        <v>1476</v>
      </c>
      <c r="FK48" s="428">
        <f t="shared" si="137"/>
        <v>-56496</v>
      </c>
    </row>
    <row r="50" spans="1:72" x14ac:dyDescent="0.35">
      <c r="BT50" s="328"/>
    </row>
    <row r="52" spans="1:72" x14ac:dyDescent="0.35">
      <c r="A52" s="430" t="s">
        <v>764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326"/>
      <c r="BF52" s="326"/>
    </row>
    <row r="53" spans="1:72" x14ac:dyDescent="0.35">
      <c r="A53" s="292" t="s">
        <v>789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326"/>
      <c r="BF53" s="326"/>
    </row>
    <row r="54" spans="1:72" x14ac:dyDescent="0.35">
      <c r="A54" s="292" t="s">
        <v>790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326"/>
      <c r="BF54" s="326"/>
    </row>
    <row r="55" spans="1:72" x14ac:dyDescent="0.35">
      <c r="BF55" s="287"/>
      <c r="BG55" s="287"/>
      <c r="BH55" s="287"/>
      <c r="BI55" s="287"/>
    </row>
    <row r="56" spans="1:72" x14ac:dyDescent="0.35">
      <c r="A56" s="412" t="s">
        <v>765</v>
      </c>
      <c r="B56" s="431" t="s">
        <v>766</v>
      </c>
      <c r="C56" s="431" t="s">
        <v>767</v>
      </c>
      <c r="BF56" s="446"/>
      <c r="BG56" s="446"/>
      <c r="BH56" s="434"/>
      <c r="BI56" s="447"/>
      <c r="BJ56" s="287"/>
    </row>
    <row r="57" spans="1:72" x14ac:dyDescent="0.35">
      <c r="A57" s="408" t="s">
        <v>768</v>
      </c>
      <c r="B57" s="417">
        <f>SUM(P48:S48)</f>
        <v>10260124</v>
      </c>
      <c r="C57" s="432">
        <f>B57/$B$60</f>
        <v>0.59194721462991096</v>
      </c>
      <c r="G57" s="433"/>
      <c r="BF57" s="446"/>
      <c r="BG57" s="446"/>
      <c r="BH57" s="434"/>
      <c r="BI57" s="448"/>
      <c r="BJ57" s="287"/>
      <c r="BK57" s="328"/>
    </row>
    <row r="58" spans="1:72" x14ac:dyDescent="0.35">
      <c r="A58" s="408" t="s">
        <v>769</v>
      </c>
      <c r="B58" s="417">
        <f>SUM(G48:I48,B64)</f>
        <v>3410196.1</v>
      </c>
      <c r="C58" s="432">
        <f>B58/$B$60</f>
        <v>0.19674772768212015</v>
      </c>
      <c r="G58" s="433"/>
      <c r="BF58" s="446"/>
      <c r="BG58" s="446"/>
      <c r="BH58" s="434"/>
      <c r="BI58" s="448"/>
      <c r="BJ58" s="287"/>
      <c r="BK58" s="328"/>
    </row>
    <row r="59" spans="1:72" x14ac:dyDescent="0.35">
      <c r="A59" s="408" t="s">
        <v>770</v>
      </c>
      <c r="B59" s="434">
        <f>SUM(D48:F48,J48:L48,N48:O48,B65)-B69</f>
        <v>3662515.9137899997</v>
      </c>
      <c r="C59" s="432">
        <f>B59/$B$60</f>
        <v>0.21130505768796884</v>
      </c>
      <c r="G59" s="433"/>
      <c r="BF59" s="446"/>
      <c r="BG59" s="446"/>
      <c r="BH59" s="434"/>
      <c r="BI59" s="448"/>
      <c r="BJ59" s="287"/>
      <c r="BK59" s="328"/>
    </row>
    <row r="60" spans="1:72" x14ac:dyDescent="0.35">
      <c r="A60" s="408" t="s">
        <v>383</v>
      </c>
      <c r="B60" s="428">
        <f>SUM(B57:B59)</f>
        <v>17332836.01379</v>
      </c>
      <c r="C60" s="435">
        <f>SUM(C57:C59)</f>
        <v>0.99999999999999989</v>
      </c>
      <c r="BF60" s="446"/>
      <c r="BG60" s="446"/>
      <c r="BH60" s="434"/>
      <c r="BI60" s="449"/>
      <c r="BJ60" s="287"/>
      <c r="BK60" s="328"/>
    </row>
    <row r="61" spans="1:72" x14ac:dyDescent="0.35">
      <c r="A61" s="326"/>
      <c r="B61" s="292"/>
      <c r="C61" s="292"/>
      <c r="D61" s="292"/>
      <c r="E61" s="417"/>
      <c r="BF61" s="301"/>
      <c r="BG61" s="301"/>
      <c r="BH61" s="301"/>
      <c r="BI61" s="434"/>
      <c r="BJ61" s="287"/>
    </row>
    <row r="62" spans="1:72" x14ac:dyDescent="0.35">
      <c r="A62" s="326"/>
      <c r="BF62" s="287"/>
      <c r="BG62" s="287"/>
      <c r="BH62" s="304"/>
      <c r="BI62" s="287"/>
      <c r="BJ62" s="287"/>
    </row>
    <row r="63" spans="1:72" x14ac:dyDescent="0.35">
      <c r="A63" s="436" t="s">
        <v>771</v>
      </c>
      <c r="B63" s="437" t="s">
        <v>772</v>
      </c>
      <c r="BF63" s="450"/>
      <c r="BG63" s="287"/>
      <c r="BH63" s="304"/>
      <c r="BI63" s="287"/>
      <c r="BJ63" s="287"/>
    </row>
    <row r="64" spans="1:72" x14ac:dyDescent="0.35">
      <c r="A64" s="438" t="s">
        <v>773</v>
      </c>
      <c r="B64" s="297">
        <f>B63*0.9</f>
        <v>924326.1</v>
      </c>
      <c r="BF64" s="450"/>
      <c r="BG64" s="287"/>
      <c r="BH64" s="304"/>
      <c r="BI64" s="287"/>
      <c r="BJ64" s="287"/>
    </row>
    <row r="65" spans="1:62" x14ac:dyDescent="0.35">
      <c r="A65" s="438" t="s">
        <v>774</v>
      </c>
      <c r="B65" s="297">
        <f>B63*0.1</f>
        <v>102702.90000000001</v>
      </c>
      <c r="D65" s="434"/>
      <c r="E65" s="417"/>
      <c r="BF65" s="301"/>
      <c r="BG65" s="301"/>
      <c r="BH65" s="434"/>
      <c r="BI65" s="434"/>
      <c r="BJ65" s="287"/>
    </row>
    <row r="66" spans="1:62" x14ac:dyDescent="0.35">
      <c r="A66" s="438"/>
      <c r="B66" s="297"/>
      <c r="D66" s="434"/>
      <c r="E66" s="417"/>
      <c r="BF66" s="292"/>
      <c r="BG66" s="292"/>
      <c r="BH66" s="434"/>
      <c r="BI66" s="417"/>
    </row>
    <row r="67" spans="1:62" x14ac:dyDescent="0.35">
      <c r="A67" s="445" t="s">
        <v>795</v>
      </c>
      <c r="B67" s="431" t="s">
        <v>766</v>
      </c>
      <c r="C67" s="336" t="s">
        <v>791</v>
      </c>
      <c r="BH67" s="328"/>
      <c r="BI67" s="417"/>
    </row>
    <row r="68" spans="1:62" x14ac:dyDescent="0.35">
      <c r="A68" s="326" t="s">
        <v>775</v>
      </c>
      <c r="B68" s="297">
        <f>N48</f>
        <v>495422</v>
      </c>
      <c r="C68" s="417" t="s">
        <v>776</v>
      </c>
      <c r="D68" s="326"/>
      <c r="BH68" s="328"/>
      <c r="BI68" s="417"/>
    </row>
    <row r="69" spans="1:62" x14ac:dyDescent="0.35">
      <c r="A69" s="326" t="s">
        <v>777</v>
      </c>
      <c r="B69" s="297">
        <v>385870.98621000006</v>
      </c>
      <c r="C69" s="417" t="s">
        <v>778</v>
      </c>
      <c r="D69" s="326"/>
    </row>
    <row r="70" spans="1:62" x14ac:dyDescent="0.35">
      <c r="A70" s="292" t="s">
        <v>681</v>
      </c>
      <c r="B70" s="434">
        <f>T48</f>
        <v>71229</v>
      </c>
      <c r="C70" s="417" t="s">
        <v>779</v>
      </c>
      <c r="D70" s="326"/>
      <c r="BF70" s="292"/>
      <c r="BG70" s="292"/>
      <c r="BH70" s="434"/>
      <c r="BI70" s="417"/>
    </row>
    <row r="71" spans="1:62" x14ac:dyDescent="0.35">
      <c r="A71" s="292" t="s">
        <v>682</v>
      </c>
      <c r="B71" s="434">
        <f>U48</f>
        <v>530179</v>
      </c>
      <c r="C71" s="417" t="s">
        <v>779</v>
      </c>
      <c r="D71" s="326"/>
    </row>
    <row r="72" spans="1:62" x14ac:dyDescent="0.35">
      <c r="A72" s="326"/>
      <c r="B72" s="326"/>
      <c r="C72" s="326"/>
      <c r="D72" s="326"/>
    </row>
    <row r="76" spans="1:62" x14ac:dyDescent="0.35">
      <c r="D76" s="328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K345"/>
  <sheetViews>
    <sheetView zoomScale="70" zoomScaleNormal="70" workbookViewId="0"/>
  </sheetViews>
  <sheetFormatPr defaultColWidth="8.4140625" defaultRowHeight="15.5" x14ac:dyDescent="0.35"/>
  <cols>
    <col min="1" max="1" width="18.9140625" style="3" customWidth="1"/>
    <col min="2" max="2" width="20.1640625" style="3" customWidth="1"/>
    <col min="3" max="3" width="22.6640625" style="3" customWidth="1"/>
    <col min="4" max="4" width="32.1640625" style="3" customWidth="1"/>
    <col min="5" max="5" width="31.4140625" style="8" customWidth="1"/>
    <col min="6" max="6" width="35" style="3" customWidth="1"/>
    <col min="7" max="7" width="30.58203125" style="3" customWidth="1"/>
    <col min="8" max="8" width="30.4140625" style="3" customWidth="1"/>
    <col min="9" max="9" width="31.58203125" style="3" customWidth="1"/>
    <col min="10" max="10" width="41.1640625" style="3" customWidth="1"/>
    <col min="11" max="11" width="38.9140625" style="3" customWidth="1"/>
    <col min="12" max="12" width="34.5" style="3" customWidth="1"/>
    <col min="13" max="13" width="24.6640625" style="8" customWidth="1"/>
    <col min="14" max="14" width="39" style="5" customWidth="1"/>
    <col min="15" max="15" width="8.4140625" style="3"/>
    <col min="16" max="16" width="22.6640625" style="5" customWidth="1"/>
    <col min="17" max="17" width="18.5" style="3" customWidth="1"/>
    <col min="18" max="18" width="32.9140625" style="3" customWidth="1"/>
    <col min="19" max="21" width="12.1640625" style="3" customWidth="1"/>
    <col min="22" max="30" width="8.4140625" style="5"/>
    <col min="31" max="31" width="10.83203125" style="3" customWidth="1"/>
    <col min="32" max="32" width="12.1640625" style="3" bestFit="1" customWidth="1"/>
    <col min="33" max="33" width="18.83203125" style="3" customWidth="1"/>
    <col min="34" max="37" width="14.83203125" style="3" customWidth="1"/>
    <col min="38" max="16384" width="8.4140625" style="3"/>
  </cols>
  <sheetData>
    <row r="1" spans="1:37" ht="18" x14ac:dyDescent="0.4">
      <c r="A1" s="256" t="s">
        <v>9</v>
      </c>
      <c r="B1" s="4"/>
      <c r="C1" s="4"/>
      <c r="E1" s="3"/>
      <c r="M1" s="3"/>
    </row>
    <row r="2" spans="1:37" x14ac:dyDescent="0.35">
      <c r="A2" s="4" t="str">
        <f>Info!A2</f>
        <v>Finansministeriet/Kommun- och regionförvaltningsavdelningen 8.12.2020</v>
      </c>
      <c r="B2" s="4"/>
      <c r="C2" s="4"/>
      <c r="E2" s="3"/>
      <c r="M2" s="3"/>
    </row>
    <row r="3" spans="1:37" x14ac:dyDescent="0.35">
      <c r="A3" s="6" t="s">
        <v>10</v>
      </c>
      <c r="B3" s="4"/>
      <c r="C3" s="4"/>
      <c r="E3" s="3"/>
      <c r="M3" s="3"/>
    </row>
    <row r="4" spans="1:37" x14ac:dyDescent="0.35">
      <c r="A4" s="3" t="s">
        <v>11</v>
      </c>
      <c r="B4" s="4"/>
      <c r="C4" s="4"/>
      <c r="E4" s="3"/>
      <c r="M4" s="3"/>
    </row>
    <row r="5" spans="1:37" x14ac:dyDescent="0.35">
      <c r="A5" s="3" t="s">
        <v>12</v>
      </c>
      <c r="C5" s="7"/>
      <c r="E5" s="3"/>
      <c r="M5" s="3"/>
    </row>
    <row r="6" spans="1:37" x14ac:dyDescent="0.35">
      <c r="A6" s="3" t="s">
        <v>13</v>
      </c>
      <c r="R6" s="9"/>
      <c r="S6" s="10"/>
      <c r="T6" s="9"/>
    </row>
    <row r="7" spans="1:37" x14ac:dyDescent="0.35">
      <c r="A7" s="4" t="s">
        <v>14</v>
      </c>
      <c r="B7" s="11"/>
      <c r="C7" s="11"/>
      <c r="D7" s="12"/>
      <c r="E7" s="12"/>
      <c r="F7" s="12"/>
      <c r="G7" s="12"/>
      <c r="H7" s="12"/>
      <c r="I7" s="12"/>
      <c r="J7" s="13"/>
      <c r="K7" s="13"/>
      <c r="L7" s="13"/>
      <c r="M7" s="14"/>
      <c r="R7" s="495"/>
      <c r="S7" s="495"/>
      <c r="T7" s="495"/>
    </row>
    <row r="8" spans="1:37" x14ac:dyDescent="0.35">
      <c r="A8" s="4" t="s">
        <v>15</v>
      </c>
      <c r="B8" s="11"/>
      <c r="C8" s="11"/>
      <c r="D8" s="12"/>
      <c r="E8" s="12"/>
      <c r="F8" s="12"/>
      <c r="G8" s="12"/>
      <c r="H8" s="12"/>
      <c r="I8" s="12"/>
      <c r="J8" s="13"/>
      <c r="K8" s="13"/>
      <c r="L8" s="13"/>
      <c r="M8" s="14"/>
      <c r="R8" s="15"/>
      <c r="S8" s="15"/>
      <c r="T8" s="15"/>
    </row>
    <row r="9" spans="1:37" x14ac:dyDescent="0.35">
      <c r="A9" s="4" t="s">
        <v>16</v>
      </c>
      <c r="B9" s="11"/>
      <c r="C9" s="11"/>
      <c r="D9" s="12"/>
      <c r="E9" s="12"/>
      <c r="F9" s="12"/>
      <c r="G9" s="12"/>
      <c r="H9" s="12"/>
      <c r="I9" s="12"/>
      <c r="J9" s="13"/>
      <c r="K9" s="13"/>
      <c r="L9" s="13"/>
      <c r="M9" s="14"/>
      <c r="R9" s="15"/>
      <c r="S9" s="15"/>
      <c r="T9" s="15"/>
    </row>
    <row r="10" spans="1:37" x14ac:dyDescent="0.35">
      <c r="A10" s="16" t="s">
        <v>17</v>
      </c>
      <c r="B10" s="11"/>
      <c r="C10" s="11"/>
      <c r="D10" s="12"/>
      <c r="E10" s="12"/>
      <c r="F10" s="12"/>
      <c r="G10" s="12"/>
      <c r="H10" s="12"/>
      <c r="I10" s="12"/>
      <c r="J10" s="13"/>
      <c r="K10" s="13"/>
      <c r="L10" s="13"/>
      <c r="M10" s="14"/>
      <c r="R10" s="15"/>
      <c r="S10" s="15"/>
      <c r="T10" s="15"/>
    </row>
    <row r="11" spans="1:37" x14ac:dyDescent="0.35">
      <c r="B11" s="11"/>
      <c r="C11" s="11"/>
      <c r="D11" s="12"/>
      <c r="E11" s="12"/>
      <c r="F11" s="12"/>
      <c r="G11" s="12"/>
      <c r="H11" s="12"/>
      <c r="I11" s="12"/>
      <c r="J11" s="13"/>
      <c r="K11" s="13"/>
      <c r="L11" s="13"/>
      <c r="M11" s="14"/>
      <c r="R11" s="15"/>
      <c r="S11" s="15"/>
      <c r="T11" s="15"/>
    </row>
    <row r="12" spans="1:37" x14ac:dyDescent="0.35">
      <c r="A12" s="17" t="s">
        <v>18</v>
      </c>
      <c r="B12" s="18"/>
      <c r="C12" s="19"/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2"/>
      <c r="P12" s="17" t="s">
        <v>19</v>
      </c>
      <c r="Q12" s="23"/>
      <c r="R12" s="23"/>
      <c r="S12" s="24"/>
      <c r="T12" s="9"/>
      <c r="AE12" s="25"/>
      <c r="AI12" s="26"/>
      <c r="AJ12" s="26"/>
      <c r="AK12" s="26"/>
    </row>
    <row r="13" spans="1:37" ht="46.5" x14ac:dyDescent="0.35">
      <c r="A13" s="241" t="s">
        <v>20</v>
      </c>
      <c r="B13" s="241" t="s">
        <v>21</v>
      </c>
      <c r="C13" s="238" t="s">
        <v>22</v>
      </c>
      <c r="D13" s="238" t="s">
        <v>23</v>
      </c>
      <c r="E13" s="238" t="s">
        <v>24</v>
      </c>
      <c r="F13" s="238" t="s">
        <v>25</v>
      </c>
      <c r="G13" s="238" t="s">
        <v>26</v>
      </c>
      <c r="H13" s="238" t="s">
        <v>27</v>
      </c>
      <c r="I13" s="238" t="s">
        <v>28</v>
      </c>
      <c r="J13" s="238" t="s">
        <v>29</v>
      </c>
      <c r="K13" s="238" t="s">
        <v>30</v>
      </c>
      <c r="L13" s="238" t="s">
        <v>31</v>
      </c>
      <c r="M13" s="238" t="s">
        <v>32</v>
      </c>
      <c r="N13" s="242" t="s">
        <v>33</v>
      </c>
      <c r="P13" s="237" t="s">
        <v>22</v>
      </c>
      <c r="Q13" s="237" t="s">
        <v>34</v>
      </c>
      <c r="R13" s="238" t="s">
        <v>31</v>
      </c>
      <c r="S13" s="9"/>
      <c r="T13" s="9"/>
      <c r="AI13" s="9"/>
      <c r="AJ13" s="9"/>
      <c r="AK13" s="9"/>
    </row>
    <row r="14" spans="1:37" x14ac:dyDescent="0.35">
      <c r="A14" s="28"/>
      <c r="B14" s="28" t="s">
        <v>35</v>
      </c>
      <c r="C14" s="29"/>
      <c r="D14" s="30">
        <f t="shared" ref="D14:I14" si="0">SUM(D15:D308)</f>
        <v>-18256698</v>
      </c>
      <c r="E14" s="30">
        <f t="shared" si="0"/>
        <v>-72713</v>
      </c>
      <c r="F14" s="30">
        <f t="shared" si="0"/>
        <v>18183985</v>
      </c>
      <c r="G14" s="30">
        <f t="shared" si="0"/>
        <v>-19180475</v>
      </c>
      <c r="H14" s="30">
        <f t="shared" si="0"/>
        <v>-76811</v>
      </c>
      <c r="I14" s="30">
        <f t="shared" si="0"/>
        <v>19103664</v>
      </c>
      <c r="J14" s="31">
        <f>AVERAGE(F14,I14)</f>
        <v>18643824.5</v>
      </c>
      <c r="K14" s="32">
        <f>J14/$J$14</f>
        <v>1</v>
      </c>
      <c r="L14" s="31">
        <f>I14*1.036</f>
        <v>19791395.903999999</v>
      </c>
      <c r="M14" s="30">
        <f>SUM(M15:M308)</f>
        <v>-386159.70382000005</v>
      </c>
      <c r="N14" s="30">
        <f>SUM(N15:N308)</f>
        <v>19405236200.180012</v>
      </c>
      <c r="P14" s="29"/>
      <c r="Q14" s="28" t="s">
        <v>35</v>
      </c>
      <c r="R14" s="31">
        <f>SUM(R15:R36)</f>
        <v>19405236200.18</v>
      </c>
      <c r="AI14" s="9"/>
      <c r="AJ14" s="9"/>
      <c r="AK14" s="9"/>
    </row>
    <row r="15" spans="1:37" x14ac:dyDescent="0.35">
      <c r="A15" s="34">
        <v>5</v>
      </c>
      <c r="B15" s="34" t="s">
        <v>36</v>
      </c>
      <c r="C15" s="35">
        <f>Bestämningsfaktor_kommunvis!C5</f>
        <v>14</v>
      </c>
      <c r="D15" s="36">
        <v>-37206</v>
      </c>
      <c r="E15" s="36">
        <v>-333</v>
      </c>
      <c r="F15" s="36">
        <f>-(D15-E15)</f>
        <v>36873</v>
      </c>
      <c r="G15" s="36">
        <v>-38048</v>
      </c>
      <c r="H15" s="36">
        <v>-316</v>
      </c>
      <c r="I15" s="36">
        <f t="shared" ref="I15:I78" si="1">-(G15-H15)</f>
        <v>37732</v>
      </c>
      <c r="J15" s="37">
        <f>AVERAGE(F15,I15)</f>
        <v>37302.5</v>
      </c>
      <c r="K15" s="38">
        <f>J15/$J$14</f>
        <v>2.0007965640311621E-3</v>
      </c>
      <c r="L15" s="37">
        <f>'Social- och hälsovårdskostnader'!$K15*$L$14</f>
        <v>39598.556922103613</v>
      </c>
      <c r="M15" s="36">
        <v>-404.91606999999999</v>
      </c>
      <c r="N15" s="239">
        <f>(L15+M15)*1000</f>
        <v>39193640.852103613</v>
      </c>
      <c r="P15" s="37">
        <v>31</v>
      </c>
      <c r="Q15" s="35" t="s">
        <v>37</v>
      </c>
      <c r="R15" s="37">
        <f t="shared" ref="R15:R36" si="2">SUMIF(C$15:C$308,P15,N$15:N$308)</f>
        <v>2059592420.1713476</v>
      </c>
      <c r="U15" s="39"/>
      <c r="AE15" s="40"/>
      <c r="AI15" s="41"/>
      <c r="AJ15" s="41"/>
      <c r="AK15" s="41"/>
    </row>
    <row r="16" spans="1:37" x14ac:dyDescent="0.35">
      <c r="A16" s="34">
        <v>9</v>
      </c>
      <c r="B16" s="34" t="s">
        <v>38</v>
      </c>
      <c r="C16" s="35">
        <f>Bestämningsfaktor_kommunvis!C6</f>
        <v>17</v>
      </c>
      <c r="D16" s="36">
        <v>-10187</v>
      </c>
      <c r="E16" s="36">
        <v>-99</v>
      </c>
      <c r="F16" s="36">
        <f t="shared" ref="F16:F78" si="3">-(D16-E16)</f>
        <v>10088</v>
      </c>
      <c r="G16" s="36">
        <v>-9822</v>
      </c>
      <c r="H16" s="36">
        <v>-106</v>
      </c>
      <c r="I16" s="36">
        <f t="shared" si="1"/>
        <v>9716</v>
      </c>
      <c r="J16" s="37">
        <f t="shared" ref="J16:J77" si="4">AVERAGE(F16,I16)</f>
        <v>9902</v>
      </c>
      <c r="K16" s="38">
        <f t="shared" ref="K16:K79" si="5">J16/$J$14</f>
        <v>5.311142035262132E-4</v>
      </c>
      <c r="L16" s="37">
        <f>'Social- och hälsovårdskostnader'!$K16*$L$14</f>
        <v>10511.491472224918</v>
      </c>
      <c r="M16" s="36">
        <v>-69.444770000000005</v>
      </c>
      <c r="N16" s="239">
        <f t="shared" ref="N16:N79" si="6">(L16+M16)*1000</f>
        <v>10442046.702224918</v>
      </c>
      <c r="P16" s="37">
        <v>32</v>
      </c>
      <c r="Q16" s="35" t="s">
        <v>39</v>
      </c>
      <c r="R16" s="37">
        <f t="shared" si="2"/>
        <v>788802950.19146705</v>
      </c>
      <c r="U16" s="39"/>
      <c r="AE16" s="40"/>
      <c r="AI16" s="41"/>
      <c r="AJ16" s="41"/>
      <c r="AK16" s="41"/>
    </row>
    <row r="17" spans="1:37" x14ac:dyDescent="0.35">
      <c r="A17" s="34">
        <v>10</v>
      </c>
      <c r="B17" s="34" t="s">
        <v>40</v>
      </c>
      <c r="C17" s="35">
        <f>Bestämningsfaktor_kommunvis!C7</f>
        <v>14</v>
      </c>
      <c r="D17" s="36">
        <v>-46191</v>
      </c>
      <c r="E17" s="36">
        <v>-268</v>
      </c>
      <c r="F17" s="36">
        <f t="shared" si="3"/>
        <v>45923</v>
      </c>
      <c r="G17" s="36">
        <v>-47055</v>
      </c>
      <c r="H17" s="36">
        <v>-264</v>
      </c>
      <c r="I17" s="36">
        <f t="shared" si="1"/>
        <v>46791</v>
      </c>
      <c r="J17" s="37">
        <f t="shared" si="4"/>
        <v>46357</v>
      </c>
      <c r="K17" s="38">
        <f t="shared" si="5"/>
        <v>2.4864533561770011E-3</v>
      </c>
      <c r="L17" s="37">
        <f>'Social- och hälsovårdskostnader'!$K17*$L$14</f>
        <v>49210.382768928554</v>
      </c>
      <c r="M17" s="36">
        <v>-354.84915000000001</v>
      </c>
      <c r="N17" s="239">
        <f t="shared" si="6"/>
        <v>48855533.618928552</v>
      </c>
      <c r="P17" s="37">
        <v>33</v>
      </c>
      <c r="Q17" s="35" t="s">
        <v>41</v>
      </c>
      <c r="R17" s="37">
        <f t="shared" si="2"/>
        <v>1410186539.1626453</v>
      </c>
      <c r="U17" s="39"/>
      <c r="AE17" s="40"/>
      <c r="AI17" s="41"/>
      <c r="AJ17" s="41"/>
      <c r="AK17" s="41"/>
    </row>
    <row r="18" spans="1:37" x14ac:dyDescent="0.35">
      <c r="A18" s="34">
        <v>16</v>
      </c>
      <c r="B18" s="34" t="s">
        <v>42</v>
      </c>
      <c r="C18" s="35">
        <f>Bestämningsfaktor_kommunvis!C8</f>
        <v>7</v>
      </c>
      <c r="D18" s="36">
        <v>-29014</v>
      </c>
      <c r="E18" s="36">
        <v>-216</v>
      </c>
      <c r="F18" s="36">
        <f t="shared" si="3"/>
        <v>28798</v>
      </c>
      <c r="G18" s="36">
        <v>-30254</v>
      </c>
      <c r="H18" s="36">
        <v>-234</v>
      </c>
      <c r="I18" s="36">
        <f t="shared" si="1"/>
        <v>30020</v>
      </c>
      <c r="J18" s="37">
        <f t="shared" si="4"/>
        <v>29409</v>
      </c>
      <c r="K18" s="38">
        <f t="shared" si="5"/>
        <v>1.5774124026966677E-3</v>
      </c>
      <c r="L18" s="37">
        <f>'Social- och hälsovårdskostnader'!$K18*$L$14</f>
        <v>31219.193365649626</v>
      </c>
      <c r="M18" s="36">
        <v>-303.95459000000005</v>
      </c>
      <c r="N18" s="239">
        <f t="shared" si="6"/>
        <v>30915238.775649626</v>
      </c>
      <c r="P18" s="37">
        <v>34</v>
      </c>
      <c r="Q18" s="35" t="s">
        <v>43</v>
      </c>
      <c r="R18" s="37">
        <f t="shared" si="2"/>
        <v>308712347.32216984</v>
      </c>
      <c r="U18" s="39"/>
      <c r="AE18" s="40"/>
      <c r="AI18" s="41"/>
      <c r="AJ18" s="41"/>
      <c r="AK18" s="41"/>
    </row>
    <row r="19" spans="1:37" x14ac:dyDescent="0.35">
      <c r="A19" s="34">
        <v>18</v>
      </c>
      <c r="B19" s="34" t="s">
        <v>44</v>
      </c>
      <c r="C19" s="35">
        <f>Bestämningsfaktor_kommunvis!C9</f>
        <v>34</v>
      </c>
      <c r="D19" s="36">
        <v>-15408</v>
      </c>
      <c r="E19" s="36">
        <v>-83</v>
      </c>
      <c r="F19" s="36">
        <f t="shared" si="3"/>
        <v>15325</v>
      </c>
      <c r="G19" s="36">
        <v>-15295</v>
      </c>
      <c r="H19" s="36">
        <v>-94</v>
      </c>
      <c r="I19" s="36">
        <f t="shared" si="1"/>
        <v>15201</v>
      </c>
      <c r="J19" s="37">
        <f t="shared" si="4"/>
        <v>15263</v>
      </c>
      <c r="K19" s="38">
        <f t="shared" si="5"/>
        <v>8.1866250135534152E-4</v>
      </c>
      <c r="L19" s="37">
        <f>'Social- och hälsovårdskostnader'!$K19*$L$14</f>
        <v>16202.4736760825</v>
      </c>
      <c r="M19" s="36">
        <v>-244.82017999999999</v>
      </c>
      <c r="N19" s="239">
        <f t="shared" si="6"/>
        <v>15957653.4960825</v>
      </c>
      <c r="P19" s="37">
        <v>35</v>
      </c>
      <c r="Q19" s="35" t="s">
        <v>45</v>
      </c>
      <c r="R19" s="37">
        <f t="shared" si="2"/>
        <v>646152860.40182829</v>
      </c>
      <c r="U19" s="39"/>
      <c r="AE19" s="40"/>
      <c r="AI19" s="41"/>
      <c r="AJ19" s="41"/>
      <c r="AK19" s="41"/>
    </row>
    <row r="20" spans="1:37" x14ac:dyDescent="0.35">
      <c r="A20" s="34">
        <v>19</v>
      </c>
      <c r="B20" s="34" t="s">
        <v>46</v>
      </c>
      <c r="C20" s="35">
        <f>Bestämningsfaktor_kommunvis!C10</f>
        <v>2</v>
      </c>
      <c r="D20" s="36">
        <v>-11741</v>
      </c>
      <c r="E20" s="36">
        <v>-54</v>
      </c>
      <c r="F20" s="36">
        <f t="shared" si="3"/>
        <v>11687</v>
      </c>
      <c r="G20" s="36">
        <v>-11962</v>
      </c>
      <c r="H20" s="36">
        <v>-50</v>
      </c>
      <c r="I20" s="36">
        <f t="shared" si="1"/>
        <v>11912</v>
      </c>
      <c r="J20" s="37">
        <f t="shared" si="4"/>
        <v>11799.5</v>
      </c>
      <c r="K20" s="38">
        <f t="shared" si="5"/>
        <v>6.3289053166103344E-4</v>
      </c>
      <c r="L20" s="37">
        <f>'Social- och hälsovårdskostnader'!$K20*$L$14</f>
        <v>12525.787075996559</v>
      </c>
      <c r="M20" s="36">
        <v>-106.93005000000001</v>
      </c>
      <c r="N20" s="239">
        <f t="shared" si="6"/>
        <v>12418857.025996558</v>
      </c>
      <c r="P20" s="42">
        <v>2</v>
      </c>
      <c r="Q20" s="42" t="s">
        <v>47</v>
      </c>
      <c r="R20" s="37">
        <f t="shared" si="2"/>
        <v>1710507652.6219056</v>
      </c>
      <c r="U20" s="39"/>
      <c r="AE20" s="40"/>
      <c r="AI20" s="41"/>
      <c r="AJ20" s="41"/>
      <c r="AK20" s="41"/>
    </row>
    <row r="21" spans="1:37" x14ac:dyDescent="0.35">
      <c r="A21" s="34">
        <v>20</v>
      </c>
      <c r="B21" s="34" t="s">
        <v>48</v>
      </c>
      <c r="C21" s="35">
        <f>Bestämningsfaktor_kommunvis!C11</f>
        <v>6</v>
      </c>
      <c r="D21" s="36">
        <v>-54968</v>
      </c>
      <c r="E21" s="36">
        <v>-170</v>
      </c>
      <c r="F21" s="36">
        <f t="shared" si="3"/>
        <v>54798</v>
      </c>
      <c r="G21" s="36">
        <v>-55423</v>
      </c>
      <c r="H21" s="36">
        <v>-112</v>
      </c>
      <c r="I21" s="36">
        <f t="shared" si="1"/>
        <v>55311</v>
      </c>
      <c r="J21" s="37">
        <f t="shared" si="4"/>
        <v>55054.5</v>
      </c>
      <c r="K21" s="38">
        <f t="shared" si="5"/>
        <v>2.9529617166263286E-3</v>
      </c>
      <c r="L21" s="37">
        <f>'Social- och hälsovårdskostnader'!$K21*$L$14</f>
        <v>58443.234423107126</v>
      </c>
      <c r="M21" s="36">
        <v>-511.34255999999999</v>
      </c>
      <c r="N21" s="239">
        <f t="shared" si="6"/>
        <v>57931891.86310713</v>
      </c>
      <c r="P21" s="42">
        <v>4</v>
      </c>
      <c r="Q21" s="42" t="s">
        <v>49</v>
      </c>
      <c r="R21" s="37">
        <f t="shared" si="2"/>
        <v>826512891.60764027</v>
      </c>
      <c r="U21" s="39"/>
      <c r="AE21" s="40"/>
      <c r="AI21" s="41"/>
      <c r="AJ21" s="41"/>
      <c r="AK21" s="41"/>
    </row>
    <row r="22" spans="1:37" x14ac:dyDescent="0.35">
      <c r="A22" s="34">
        <v>46</v>
      </c>
      <c r="B22" s="34" t="s">
        <v>50</v>
      </c>
      <c r="C22" s="35">
        <f>Bestämningsfaktor_kommunvis!C12</f>
        <v>10</v>
      </c>
      <c r="D22" s="36">
        <v>-6618</v>
      </c>
      <c r="E22" s="36">
        <v>-79</v>
      </c>
      <c r="F22" s="36">
        <f t="shared" si="3"/>
        <v>6539</v>
      </c>
      <c r="G22" s="36">
        <v>-6329</v>
      </c>
      <c r="H22" s="36">
        <v>-62</v>
      </c>
      <c r="I22" s="36">
        <f t="shared" si="1"/>
        <v>6267</v>
      </c>
      <c r="J22" s="37">
        <f t="shared" si="4"/>
        <v>6403</v>
      </c>
      <c r="K22" s="38">
        <f t="shared" si="5"/>
        <v>3.4343811807496902E-4</v>
      </c>
      <c r="L22" s="37">
        <f>'Social- och hälsovårdskostnader'!$K22*$L$14</f>
        <v>6797.1197633464099</v>
      </c>
      <c r="M22" s="36">
        <v>-97.693389999999994</v>
      </c>
      <c r="N22" s="239">
        <f t="shared" si="6"/>
        <v>6699426.3733464098</v>
      </c>
      <c r="P22" s="42">
        <v>5</v>
      </c>
      <c r="Q22" s="42" t="s">
        <v>51</v>
      </c>
      <c r="R22" s="37">
        <f t="shared" si="2"/>
        <v>610719881.64660203</v>
      </c>
      <c r="U22" s="39"/>
      <c r="AE22" s="40"/>
      <c r="AI22" s="41"/>
      <c r="AJ22" s="41"/>
      <c r="AK22" s="41"/>
    </row>
    <row r="23" spans="1:37" x14ac:dyDescent="0.35">
      <c r="A23" s="34">
        <v>47</v>
      </c>
      <c r="B23" s="34" t="s">
        <v>52</v>
      </c>
      <c r="C23" s="35">
        <f>Bestämningsfaktor_kommunvis!C13</f>
        <v>19</v>
      </c>
      <c r="D23" s="36">
        <v>-8778</v>
      </c>
      <c r="E23" s="36">
        <v>-117</v>
      </c>
      <c r="F23" s="36">
        <f t="shared" si="3"/>
        <v>8661</v>
      </c>
      <c r="G23" s="36">
        <v>-8749</v>
      </c>
      <c r="H23" s="36">
        <v>-120</v>
      </c>
      <c r="I23" s="36">
        <f t="shared" si="1"/>
        <v>8629</v>
      </c>
      <c r="J23" s="37">
        <f t="shared" si="4"/>
        <v>8645</v>
      </c>
      <c r="K23" s="38">
        <f t="shared" si="5"/>
        <v>4.6369241461160506E-4</v>
      </c>
      <c r="L23" s="37">
        <f>'Social- och hälsovårdskostnader'!$K23*$L$14</f>
        <v>9177.1201552599905</v>
      </c>
      <c r="M23" s="36">
        <v>-129.88372000000001</v>
      </c>
      <c r="N23" s="239">
        <f t="shared" si="6"/>
        <v>9047236.4352599904</v>
      </c>
      <c r="P23" s="42">
        <v>6</v>
      </c>
      <c r="Q23" s="42" t="s">
        <v>53</v>
      </c>
      <c r="R23" s="37">
        <f t="shared" si="2"/>
        <v>1779926237.0712759</v>
      </c>
      <c r="U23" s="39"/>
      <c r="AE23" s="40"/>
      <c r="AI23" s="43"/>
      <c r="AJ23" s="41"/>
      <c r="AK23" s="43"/>
    </row>
    <row r="24" spans="1:37" x14ac:dyDescent="0.35">
      <c r="A24" s="34">
        <v>49</v>
      </c>
      <c r="B24" s="34" t="s">
        <v>54</v>
      </c>
      <c r="C24" s="35">
        <f>Bestämningsfaktor_kommunvis!C14</f>
        <v>33</v>
      </c>
      <c r="D24" s="36">
        <v>-738376</v>
      </c>
      <c r="E24" s="36">
        <v>-1242</v>
      </c>
      <c r="F24" s="36">
        <f t="shared" si="3"/>
        <v>737134</v>
      </c>
      <c r="G24" s="36">
        <v>-799083</v>
      </c>
      <c r="H24" s="36">
        <v>-1370</v>
      </c>
      <c r="I24" s="36">
        <f t="shared" si="1"/>
        <v>797713</v>
      </c>
      <c r="J24" s="37">
        <f t="shared" si="4"/>
        <v>767423.5</v>
      </c>
      <c r="K24" s="38">
        <f t="shared" si="5"/>
        <v>4.1162343058957669E-2</v>
      </c>
      <c r="L24" s="37">
        <f>'Social- och hälsovårdskostnader'!$K24*$L$14</f>
        <v>814660.22781609755</v>
      </c>
      <c r="M24" s="36">
        <v>-20573.875800000002</v>
      </c>
      <c r="N24" s="239">
        <f t="shared" si="6"/>
        <v>794086352.01609755</v>
      </c>
      <c r="P24" s="42">
        <v>7</v>
      </c>
      <c r="Q24" s="42" t="s">
        <v>55</v>
      </c>
      <c r="R24" s="37">
        <f t="shared" si="2"/>
        <v>737967731.58470845</v>
      </c>
      <c r="U24" s="39"/>
      <c r="AE24" s="40"/>
      <c r="AI24" s="43"/>
      <c r="AJ24" s="41"/>
      <c r="AK24" s="43"/>
    </row>
    <row r="25" spans="1:37" x14ac:dyDescent="0.35">
      <c r="A25" s="34">
        <v>50</v>
      </c>
      <c r="B25" s="34" t="s">
        <v>56</v>
      </c>
      <c r="C25" s="35">
        <f>Bestämningsfaktor_kommunvis!C15</f>
        <v>4</v>
      </c>
      <c r="D25" s="36">
        <v>-41622</v>
      </c>
      <c r="E25" s="36">
        <v>-207</v>
      </c>
      <c r="F25" s="36">
        <f t="shared" si="3"/>
        <v>41415</v>
      </c>
      <c r="G25" s="36">
        <v>-43023</v>
      </c>
      <c r="H25" s="36">
        <v>-209</v>
      </c>
      <c r="I25" s="36">
        <f t="shared" si="1"/>
        <v>42814</v>
      </c>
      <c r="J25" s="37">
        <f t="shared" si="4"/>
        <v>42114.5</v>
      </c>
      <c r="K25" s="38">
        <f t="shared" si="5"/>
        <v>2.2588981139572517E-3</v>
      </c>
      <c r="L25" s="37">
        <f>'Social- och hälsovårdskostnader'!$K25*$L$14</f>
        <v>44706.746880126877</v>
      </c>
      <c r="M25" s="36">
        <v>-369.05160999999998</v>
      </c>
      <c r="N25" s="239">
        <f t="shared" si="6"/>
        <v>44337695.270126872</v>
      </c>
      <c r="P25" s="42">
        <v>8</v>
      </c>
      <c r="Q25" s="42" t="s">
        <v>57</v>
      </c>
      <c r="R25" s="37">
        <f t="shared" si="2"/>
        <v>678515522.63232148</v>
      </c>
      <c r="U25" s="39"/>
      <c r="AE25" s="40"/>
      <c r="AI25" s="43"/>
      <c r="AJ25" s="41"/>
      <c r="AK25" s="43"/>
    </row>
    <row r="26" spans="1:37" x14ac:dyDescent="0.35">
      <c r="A26" s="34">
        <v>51</v>
      </c>
      <c r="B26" s="34" t="s">
        <v>58</v>
      </c>
      <c r="C26" s="35">
        <f>Bestämningsfaktor_kommunvis!C16</f>
        <v>4</v>
      </c>
      <c r="D26" s="36">
        <v>-32102</v>
      </c>
      <c r="E26" s="36">
        <v>-189</v>
      </c>
      <c r="F26" s="36">
        <f t="shared" si="3"/>
        <v>31913</v>
      </c>
      <c r="G26" s="36">
        <v>-36740</v>
      </c>
      <c r="H26" s="36">
        <v>-196</v>
      </c>
      <c r="I26" s="36">
        <f t="shared" si="1"/>
        <v>36544</v>
      </c>
      <c r="J26" s="37">
        <f t="shared" si="4"/>
        <v>34228.5</v>
      </c>
      <c r="K26" s="38">
        <f t="shared" si="5"/>
        <v>1.8359162305995747E-3</v>
      </c>
      <c r="L26" s="37">
        <f>'Social- och hälsovårdskostnader'!$K26*$L$14</f>
        <v>36335.344966375538</v>
      </c>
      <c r="M26" s="36">
        <v>-230.46856</v>
      </c>
      <c r="N26" s="239">
        <f t="shared" si="6"/>
        <v>36104876.406375535</v>
      </c>
      <c r="P26" s="42">
        <v>9</v>
      </c>
      <c r="Q26" s="42" t="s">
        <v>59</v>
      </c>
      <c r="R26" s="37">
        <f t="shared" si="2"/>
        <v>472070256.02353752</v>
      </c>
      <c r="U26" s="39"/>
      <c r="AE26" s="40"/>
      <c r="AI26" s="43"/>
      <c r="AJ26" s="41"/>
      <c r="AK26" s="43"/>
    </row>
    <row r="27" spans="1:37" x14ac:dyDescent="0.35">
      <c r="A27" s="34">
        <v>52</v>
      </c>
      <c r="B27" s="34" t="s">
        <v>60</v>
      </c>
      <c r="C27" s="35">
        <f>Bestämningsfaktor_kommunvis!C17</f>
        <v>14</v>
      </c>
      <c r="D27" s="36">
        <v>-10286</v>
      </c>
      <c r="E27" s="36">
        <v>-56</v>
      </c>
      <c r="F27" s="36">
        <f t="shared" si="3"/>
        <v>10230</v>
      </c>
      <c r="G27" s="36">
        <v>-11221</v>
      </c>
      <c r="H27" s="36">
        <v>-50</v>
      </c>
      <c r="I27" s="36">
        <f t="shared" si="1"/>
        <v>11171</v>
      </c>
      <c r="J27" s="37">
        <f t="shared" si="4"/>
        <v>10700.5</v>
      </c>
      <c r="K27" s="38">
        <f t="shared" si="5"/>
        <v>5.7394339879137995E-4</v>
      </c>
      <c r="L27" s="37">
        <f>'Social- och hälsovårdskostnader'!$K27*$L$14</f>
        <v>11359.141031967556</v>
      </c>
      <c r="M27" s="36">
        <v>-25.421950000000002</v>
      </c>
      <c r="N27" s="239">
        <f t="shared" si="6"/>
        <v>11333719.081967557</v>
      </c>
      <c r="P27" s="42">
        <v>10</v>
      </c>
      <c r="Q27" s="42" t="s">
        <v>61</v>
      </c>
      <c r="R27" s="37">
        <f t="shared" si="2"/>
        <v>595730766.23926485</v>
      </c>
      <c r="U27" s="39"/>
      <c r="AE27" s="40"/>
      <c r="AI27" s="43"/>
      <c r="AJ27" s="41"/>
      <c r="AK27" s="43"/>
    </row>
    <row r="28" spans="1:37" x14ac:dyDescent="0.35">
      <c r="A28" s="34">
        <v>61</v>
      </c>
      <c r="B28" s="34" t="s">
        <v>62</v>
      </c>
      <c r="C28" s="35">
        <f>Bestämningsfaktor_kommunvis!C18</f>
        <v>5</v>
      </c>
      <c r="D28" s="36">
        <v>-63683</v>
      </c>
      <c r="E28" s="36">
        <v>-328</v>
      </c>
      <c r="F28" s="36">
        <f t="shared" si="3"/>
        <v>63355</v>
      </c>
      <c r="G28" s="36">
        <v>-64733</v>
      </c>
      <c r="H28" s="36">
        <v>-343</v>
      </c>
      <c r="I28" s="36">
        <f t="shared" si="1"/>
        <v>64390</v>
      </c>
      <c r="J28" s="37">
        <f t="shared" si="4"/>
        <v>63872.5</v>
      </c>
      <c r="K28" s="38">
        <f t="shared" si="5"/>
        <v>3.4259333432365233E-3</v>
      </c>
      <c r="L28" s="37">
        <f>'Social- och hälsovårdskostnader'!$K28*$L$14</f>
        <v>67804.003136708357</v>
      </c>
      <c r="M28" s="36">
        <v>-865.83659999999998</v>
      </c>
      <c r="N28" s="239">
        <f t="shared" si="6"/>
        <v>66938166.536708362</v>
      </c>
      <c r="P28" s="42">
        <v>11</v>
      </c>
      <c r="Q28" s="42" t="s">
        <v>63</v>
      </c>
      <c r="R28" s="37">
        <f t="shared" si="2"/>
        <v>1002746840.8314279</v>
      </c>
      <c r="U28" s="39"/>
      <c r="AE28" s="40"/>
      <c r="AI28" s="43"/>
      <c r="AJ28" s="41"/>
      <c r="AK28" s="43"/>
    </row>
    <row r="29" spans="1:37" x14ac:dyDescent="0.35">
      <c r="A29" s="34">
        <v>69</v>
      </c>
      <c r="B29" s="34" t="s">
        <v>64</v>
      </c>
      <c r="C29" s="35">
        <f>Bestämningsfaktor_kommunvis!C19</f>
        <v>17</v>
      </c>
      <c r="D29" s="36">
        <v>-29477</v>
      </c>
      <c r="E29" s="36">
        <v>-313</v>
      </c>
      <c r="F29" s="36">
        <f t="shared" si="3"/>
        <v>29164</v>
      </c>
      <c r="G29" s="36">
        <v>-30926</v>
      </c>
      <c r="H29" s="36">
        <v>-332</v>
      </c>
      <c r="I29" s="36">
        <f t="shared" si="1"/>
        <v>30594</v>
      </c>
      <c r="J29" s="37">
        <f t="shared" si="4"/>
        <v>29879</v>
      </c>
      <c r="K29" s="38">
        <f t="shared" si="5"/>
        <v>1.6026218225772292E-3</v>
      </c>
      <c r="L29" s="37">
        <f>'Social- och hälsovårdskostnader'!$K29*$L$14</f>
        <v>31718.122975015987</v>
      </c>
      <c r="M29" s="36">
        <v>-269.41416999999996</v>
      </c>
      <c r="N29" s="239">
        <f t="shared" si="6"/>
        <v>31448708.805015989</v>
      </c>
      <c r="P29" s="42">
        <v>12</v>
      </c>
      <c r="Q29" s="42" t="s">
        <v>65</v>
      </c>
      <c r="R29" s="37">
        <f t="shared" si="2"/>
        <v>622259512.13195372</v>
      </c>
      <c r="U29" s="39"/>
      <c r="AE29" s="40"/>
      <c r="AI29" s="43"/>
      <c r="AJ29" s="41"/>
      <c r="AK29" s="43"/>
    </row>
    <row r="30" spans="1:37" x14ac:dyDescent="0.35">
      <c r="A30" s="34">
        <v>71</v>
      </c>
      <c r="B30" s="34" t="s">
        <v>66</v>
      </c>
      <c r="C30" s="35">
        <f>Bestämningsfaktor_kommunvis!C20</f>
        <v>17</v>
      </c>
      <c r="D30" s="36">
        <v>-26346</v>
      </c>
      <c r="E30" s="36">
        <v>-326</v>
      </c>
      <c r="F30" s="36">
        <f t="shared" si="3"/>
        <v>26020</v>
      </c>
      <c r="G30" s="36">
        <v>-26815</v>
      </c>
      <c r="H30" s="36">
        <v>-317</v>
      </c>
      <c r="I30" s="36">
        <f t="shared" si="1"/>
        <v>26498</v>
      </c>
      <c r="J30" s="37">
        <f t="shared" si="4"/>
        <v>26259</v>
      </c>
      <c r="K30" s="38">
        <f t="shared" si="5"/>
        <v>1.4084556524333299E-3</v>
      </c>
      <c r="L30" s="37">
        <f>'Social- och hälsovårdskostnader'!$K30*$L$14</f>
        <v>27875.303430534652</v>
      </c>
      <c r="M30" s="36">
        <v>-240.8725</v>
      </c>
      <c r="N30" s="239">
        <f t="shared" si="6"/>
        <v>27634430.93053465</v>
      </c>
      <c r="P30" s="42">
        <v>13</v>
      </c>
      <c r="Q30" s="42" t="s">
        <v>67</v>
      </c>
      <c r="R30" s="37">
        <f t="shared" si="2"/>
        <v>947667694.83524311</v>
      </c>
      <c r="U30" s="39"/>
      <c r="AE30" s="40"/>
      <c r="AI30" s="43"/>
      <c r="AJ30" s="41"/>
      <c r="AK30" s="43"/>
    </row>
    <row r="31" spans="1:37" x14ac:dyDescent="0.35">
      <c r="A31" s="34">
        <v>72</v>
      </c>
      <c r="B31" s="34" t="s">
        <v>68</v>
      </c>
      <c r="C31" s="35">
        <f>Bestämningsfaktor_kommunvis!C21</f>
        <v>17</v>
      </c>
      <c r="D31" s="36">
        <v>-4419</v>
      </c>
      <c r="E31" s="36">
        <v>-33</v>
      </c>
      <c r="F31" s="36">
        <f t="shared" si="3"/>
        <v>4386</v>
      </c>
      <c r="G31" s="36">
        <v>-4496</v>
      </c>
      <c r="H31" s="36">
        <v>-33</v>
      </c>
      <c r="I31" s="36">
        <f t="shared" si="1"/>
        <v>4463</v>
      </c>
      <c r="J31" s="37">
        <f t="shared" si="4"/>
        <v>4424.5</v>
      </c>
      <c r="K31" s="38">
        <f t="shared" si="5"/>
        <v>2.3731718779052013E-4</v>
      </c>
      <c r="L31" s="37">
        <f>'Social- och hälsovårdskostnader'!$K31*$L$14</f>
        <v>4696.838418386099</v>
      </c>
      <c r="M31" s="36">
        <v>-19.079630000000002</v>
      </c>
      <c r="N31" s="239">
        <f t="shared" si="6"/>
        <v>4677758.788386099</v>
      </c>
      <c r="P31" s="42">
        <v>14</v>
      </c>
      <c r="Q31" s="42" t="s">
        <v>69</v>
      </c>
      <c r="R31" s="37">
        <f t="shared" si="2"/>
        <v>755656037.53540027</v>
      </c>
      <c r="U31" s="39"/>
      <c r="AE31" s="40"/>
      <c r="AI31" s="43"/>
      <c r="AJ31" s="41"/>
      <c r="AK31" s="43"/>
    </row>
    <row r="32" spans="1:37" x14ac:dyDescent="0.35">
      <c r="A32" s="34">
        <v>74</v>
      </c>
      <c r="B32" s="34" t="s">
        <v>70</v>
      </c>
      <c r="C32" s="35">
        <f>Bestämningsfaktor_kommunvis!C22</f>
        <v>16</v>
      </c>
      <c r="D32" s="36">
        <v>-5020</v>
      </c>
      <c r="E32" s="36">
        <v>-61</v>
      </c>
      <c r="F32" s="36">
        <f t="shared" si="3"/>
        <v>4959</v>
      </c>
      <c r="G32" s="36">
        <v>-5343</v>
      </c>
      <c r="H32" s="36">
        <v>-66</v>
      </c>
      <c r="I32" s="36">
        <f t="shared" si="1"/>
        <v>5277</v>
      </c>
      <c r="J32" s="37">
        <f t="shared" si="4"/>
        <v>5118</v>
      </c>
      <c r="K32" s="38">
        <f t="shared" si="5"/>
        <v>2.7451449138024228E-4</v>
      </c>
      <c r="L32" s="37">
        <f>'Social- och hälsovårdskostnader'!$K32*$L$14</f>
        <v>5433.0249802915705</v>
      </c>
      <c r="M32" s="36">
        <v>-24.755980000000001</v>
      </c>
      <c r="N32" s="239">
        <f t="shared" si="6"/>
        <v>5408269.000291571</v>
      </c>
      <c r="P32" s="42">
        <v>15</v>
      </c>
      <c r="Q32" s="42" t="s">
        <v>71</v>
      </c>
      <c r="R32" s="37">
        <f t="shared" si="2"/>
        <v>645010462.78268433</v>
      </c>
      <c r="U32" s="39"/>
      <c r="AE32" s="40"/>
      <c r="AI32" s="43"/>
      <c r="AJ32" s="41"/>
      <c r="AK32" s="43"/>
    </row>
    <row r="33" spans="1:37" x14ac:dyDescent="0.35">
      <c r="A33" s="34">
        <v>75</v>
      </c>
      <c r="B33" s="34" t="s">
        <v>72</v>
      </c>
      <c r="C33" s="35">
        <f>Bestämningsfaktor_kommunvis!C23</f>
        <v>8</v>
      </c>
      <c r="D33" s="36">
        <v>-78792</v>
      </c>
      <c r="E33" s="36">
        <v>-229</v>
      </c>
      <c r="F33" s="36">
        <f t="shared" si="3"/>
        <v>78563</v>
      </c>
      <c r="G33" s="36">
        <v>-79809</v>
      </c>
      <c r="H33" s="36">
        <v>-345</v>
      </c>
      <c r="I33" s="36">
        <f t="shared" si="1"/>
        <v>79464</v>
      </c>
      <c r="J33" s="37">
        <f t="shared" si="4"/>
        <v>79013.5</v>
      </c>
      <c r="K33" s="38">
        <f t="shared" si="5"/>
        <v>4.238052122835634E-3</v>
      </c>
      <c r="L33" s="37">
        <f>'Social- och hälsovårdskostnader'!$K33*$L$14</f>
        <v>83876.967424827671</v>
      </c>
      <c r="M33" s="36">
        <v>-1385.4078400000001</v>
      </c>
      <c r="N33" s="239">
        <f t="shared" si="6"/>
        <v>82491559.584827676</v>
      </c>
      <c r="P33" s="42">
        <v>16</v>
      </c>
      <c r="Q33" s="42" t="s">
        <v>73</v>
      </c>
      <c r="R33" s="37">
        <f t="shared" si="2"/>
        <v>258860309.9312329</v>
      </c>
      <c r="U33" s="39"/>
      <c r="AE33" s="40"/>
      <c r="AI33" s="40"/>
      <c r="AJ33" s="41"/>
      <c r="AK33" s="40"/>
    </row>
    <row r="34" spans="1:37" x14ac:dyDescent="0.35">
      <c r="A34" s="34">
        <v>77</v>
      </c>
      <c r="B34" s="34" t="s">
        <v>74</v>
      </c>
      <c r="C34" s="35">
        <f>Bestämningsfaktor_kommunvis!C24</f>
        <v>13</v>
      </c>
      <c r="D34" s="36">
        <v>-22677</v>
      </c>
      <c r="E34" s="36">
        <v>-195</v>
      </c>
      <c r="F34" s="36">
        <f t="shared" si="3"/>
        <v>22482</v>
      </c>
      <c r="G34" s="36">
        <v>-23141</v>
      </c>
      <c r="H34" s="36">
        <v>-227</v>
      </c>
      <c r="I34" s="36">
        <f t="shared" si="1"/>
        <v>22914</v>
      </c>
      <c r="J34" s="37">
        <f t="shared" si="4"/>
        <v>22698</v>
      </c>
      <c r="K34" s="38">
        <f t="shared" si="5"/>
        <v>1.2174540690403947E-3</v>
      </c>
      <c r="L34" s="37">
        <f>'Social- och hälsovårdskostnader'!$K34*$L$14</f>
        <v>24095.1154753142</v>
      </c>
      <c r="M34" s="36">
        <v>-254.30722</v>
      </c>
      <c r="N34" s="239">
        <f t="shared" si="6"/>
        <v>23840808.255314201</v>
      </c>
      <c r="P34" s="42">
        <v>17</v>
      </c>
      <c r="Q34" s="42" t="s">
        <v>75</v>
      </c>
      <c r="R34" s="37">
        <f t="shared" si="2"/>
        <v>1450500302.4974024</v>
      </c>
      <c r="U34" s="39"/>
      <c r="AE34" s="40"/>
      <c r="AJ34" s="41"/>
    </row>
    <row r="35" spans="1:37" x14ac:dyDescent="0.35">
      <c r="A35" s="34">
        <v>78</v>
      </c>
      <c r="B35" s="34" t="s">
        <v>76</v>
      </c>
      <c r="C35" s="35">
        <f>Bestämningsfaktor_kommunvis!C25</f>
        <v>33</v>
      </c>
      <c r="D35" s="36">
        <v>-33181</v>
      </c>
      <c r="E35" s="36">
        <v>-144</v>
      </c>
      <c r="F35" s="36">
        <f t="shared" si="3"/>
        <v>33037</v>
      </c>
      <c r="G35" s="36">
        <v>-34593</v>
      </c>
      <c r="H35" s="36">
        <v>-148</v>
      </c>
      <c r="I35" s="36">
        <f t="shared" si="1"/>
        <v>34445</v>
      </c>
      <c r="J35" s="37">
        <f t="shared" si="4"/>
        <v>33741</v>
      </c>
      <c r="K35" s="38">
        <f t="shared" si="5"/>
        <v>1.809768162106439E-3</v>
      </c>
      <c r="L35" s="37">
        <f>'Social- och hälsovårdskostnader'!$K35*$L$14</f>
        <v>35817.838190702983</v>
      </c>
      <c r="M35" s="36">
        <v>-689.10798999999997</v>
      </c>
      <c r="N35" s="239">
        <f t="shared" si="6"/>
        <v>35128730.200702988</v>
      </c>
      <c r="P35" s="42">
        <v>18</v>
      </c>
      <c r="Q35" s="42" t="s">
        <v>77</v>
      </c>
      <c r="R35" s="37">
        <f t="shared" si="2"/>
        <v>330313303.55587071</v>
      </c>
      <c r="U35" s="39"/>
      <c r="AE35" s="40"/>
      <c r="AJ35" s="41"/>
    </row>
    <row r="36" spans="1:37" x14ac:dyDescent="0.35">
      <c r="A36" s="34">
        <v>79</v>
      </c>
      <c r="B36" s="34" t="s">
        <v>78</v>
      </c>
      <c r="C36" s="35">
        <f>Bestämningsfaktor_kommunvis!C26</f>
        <v>4</v>
      </c>
      <c r="D36" s="36">
        <v>-30931</v>
      </c>
      <c r="E36" s="36">
        <v>-116</v>
      </c>
      <c r="F36" s="36">
        <f t="shared" si="3"/>
        <v>30815</v>
      </c>
      <c r="G36" s="36">
        <v>-31432</v>
      </c>
      <c r="H36" s="36">
        <v>-121</v>
      </c>
      <c r="I36" s="36">
        <f t="shared" si="1"/>
        <v>31311</v>
      </c>
      <c r="J36" s="37">
        <f t="shared" si="4"/>
        <v>31063</v>
      </c>
      <c r="K36" s="38">
        <f t="shared" si="5"/>
        <v>1.666128105850814E-3</v>
      </c>
      <c r="L36" s="37">
        <f>'Social- och hälsovårdskostnader'!$K36*$L$14</f>
        <v>32975.000969675079</v>
      </c>
      <c r="M36" s="36">
        <v>-438.11054999999999</v>
      </c>
      <c r="N36" s="239">
        <f t="shared" si="6"/>
        <v>32536890.419675078</v>
      </c>
      <c r="P36" s="42">
        <v>19</v>
      </c>
      <c r="Q36" s="42" t="s">
        <v>79</v>
      </c>
      <c r="R36" s="37">
        <f t="shared" si="2"/>
        <v>766823679.40206933</v>
      </c>
      <c r="U36" s="39"/>
      <c r="AJ36" s="41"/>
    </row>
    <row r="37" spans="1:37" x14ac:dyDescent="0.35">
      <c r="A37" s="34">
        <v>81</v>
      </c>
      <c r="B37" s="34" t="s">
        <v>80</v>
      </c>
      <c r="C37" s="35">
        <f>Bestämningsfaktor_kommunvis!C27</f>
        <v>7</v>
      </c>
      <c r="D37" s="36">
        <v>-13275</v>
      </c>
      <c r="E37" s="36">
        <v>-125</v>
      </c>
      <c r="F37" s="36">
        <f t="shared" si="3"/>
        <v>13150</v>
      </c>
      <c r="G37" s="36">
        <v>-13148</v>
      </c>
      <c r="H37" s="36">
        <v>-118</v>
      </c>
      <c r="I37" s="36">
        <f t="shared" si="1"/>
        <v>13030</v>
      </c>
      <c r="J37" s="37">
        <f t="shared" si="4"/>
        <v>13090</v>
      </c>
      <c r="K37" s="38">
        <f t="shared" si="5"/>
        <v>7.0210916220542631E-4</v>
      </c>
      <c r="L37" s="37">
        <f>'Social- och hälsovårdskostnader'!$K37*$L$14</f>
        <v>13895.720397033345</v>
      </c>
      <c r="M37" s="36">
        <v>-164.33957000000001</v>
      </c>
      <c r="N37" s="239">
        <f t="shared" si="6"/>
        <v>13731380.827033345</v>
      </c>
      <c r="Q37" s="44"/>
      <c r="U37" s="39"/>
    </row>
    <row r="38" spans="1:37" x14ac:dyDescent="0.35">
      <c r="A38" s="34">
        <v>82</v>
      </c>
      <c r="B38" s="34" t="s">
        <v>81</v>
      </c>
      <c r="C38" s="35">
        <f>Bestämningsfaktor_kommunvis!C28</f>
        <v>5</v>
      </c>
      <c r="D38" s="36">
        <v>-26531</v>
      </c>
      <c r="E38" s="36">
        <v>-170</v>
      </c>
      <c r="F38" s="36">
        <f t="shared" si="3"/>
        <v>26361</v>
      </c>
      <c r="G38" s="36">
        <v>-26589</v>
      </c>
      <c r="H38" s="36">
        <v>-229</v>
      </c>
      <c r="I38" s="36">
        <f t="shared" si="1"/>
        <v>26360</v>
      </c>
      <c r="J38" s="37">
        <f t="shared" si="4"/>
        <v>26360.5</v>
      </c>
      <c r="K38" s="38">
        <f t="shared" si="5"/>
        <v>1.4138998143862597E-3</v>
      </c>
      <c r="L38" s="37">
        <f>'Social- och hälsovårdskostnader'!$K38*$L$14</f>
        <v>27983.050995110581</v>
      </c>
      <c r="M38" s="36">
        <v>-394.57109000000003</v>
      </c>
      <c r="N38" s="239">
        <f t="shared" si="6"/>
        <v>27588479.905110579</v>
      </c>
      <c r="Q38" s="44"/>
      <c r="R38" s="44"/>
      <c r="S38" s="44"/>
      <c r="T38" s="44"/>
      <c r="U38" s="39"/>
    </row>
    <row r="39" spans="1:37" x14ac:dyDescent="0.35">
      <c r="A39" s="34">
        <v>86</v>
      </c>
      <c r="B39" s="34" t="s">
        <v>82</v>
      </c>
      <c r="C39" s="35">
        <f>Bestämningsfaktor_kommunvis!C29</f>
        <v>5</v>
      </c>
      <c r="D39" s="36">
        <v>-26393</v>
      </c>
      <c r="E39" s="36">
        <v>-126</v>
      </c>
      <c r="F39" s="36">
        <f t="shared" si="3"/>
        <v>26267</v>
      </c>
      <c r="G39" s="36">
        <v>-26250</v>
      </c>
      <c r="H39" s="36">
        <v>-121</v>
      </c>
      <c r="I39" s="36">
        <f t="shared" si="1"/>
        <v>26129</v>
      </c>
      <c r="J39" s="37">
        <f t="shared" si="4"/>
        <v>26198</v>
      </c>
      <c r="K39" s="38">
        <f t="shared" si="5"/>
        <v>1.4051837915552143E-3</v>
      </c>
      <c r="L39" s="37">
        <f>'Social- och hälsovårdskostnader'!$K39*$L$14</f>
        <v>27810.548736553057</v>
      </c>
      <c r="M39" s="36">
        <v>-120.76869000000001</v>
      </c>
      <c r="N39" s="239">
        <f t="shared" si="6"/>
        <v>27689780.046553057</v>
      </c>
      <c r="Q39" s="44"/>
      <c r="R39" s="44"/>
      <c r="S39" s="44"/>
      <c r="T39" s="44"/>
      <c r="U39" s="39"/>
    </row>
    <row r="40" spans="1:37" x14ac:dyDescent="0.35">
      <c r="A40" s="34">
        <v>90</v>
      </c>
      <c r="B40" s="34" t="s">
        <v>83</v>
      </c>
      <c r="C40" s="35">
        <f>Bestämningsfaktor_kommunvis!C30</f>
        <v>12</v>
      </c>
      <c r="D40" s="36">
        <v>-17795</v>
      </c>
      <c r="E40" s="36">
        <v>-105</v>
      </c>
      <c r="F40" s="36">
        <f t="shared" si="3"/>
        <v>17690</v>
      </c>
      <c r="G40" s="36">
        <v>-17606</v>
      </c>
      <c r="H40" s="36">
        <v>-106</v>
      </c>
      <c r="I40" s="36">
        <f t="shared" si="1"/>
        <v>17500</v>
      </c>
      <c r="J40" s="37">
        <f t="shared" si="4"/>
        <v>17595</v>
      </c>
      <c r="K40" s="38">
        <f t="shared" si="5"/>
        <v>9.4374413361378718E-4</v>
      </c>
      <c r="L40" s="37">
        <f>'Social- och hälsovårdskostnader'!$K40*$L$14</f>
        <v>18678.013780427937</v>
      </c>
      <c r="M40" s="36">
        <v>-156.42148</v>
      </c>
      <c r="N40" s="239">
        <f t="shared" si="6"/>
        <v>18521592.300427936</v>
      </c>
      <c r="Q40" s="44"/>
      <c r="R40" s="44"/>
      <c r="S40" s="44"/>
      <c r="T40" s="44"/>
      <c r="U40" s="39"/>
      <c r="AI40" s="25"/>
      <c r="AJ40" s="25"/>
      <c r="AK40" s="25"/>
    </row>
    <row r="41" spans="1:37" x14ac:dyDescent="0.35">
      <c r="A41" s="34">
        <v>91</v>
      </c>
      <c r="B41" s="34" t="s">
        <v>37</v>
      </c>
      <c r="C41" s="35">
        <f>Bestämningsfaktor_kommunvis!C31</f>
        <v>31</v>
      </c>
      <c r="D41" s="36">
        <v>-1891114</v>
      </c>
      <c r="E41" s="36">
        <v>-2934</v>
      </c>
      <c r="F41" s="36">
        <f t="shared" si="3"/>
        <v>1888180</v>
      </c>
      <c r="G41" s="36">
        <v>-2113867</v>
      </c>
      <c r="H41" s="36">
        <v>-3027</v>
      </c>
      <c r="I41" s="36">
        <f t="shared" si="1"/>
        <v>2110840</v>
      </c>
      <c r="J41" s="37">
        <f t="shared" si="4"/>
        <v>1999510</v>
      </c>
      <c r="K41" s="38">
        <f t="shared" si="5"/>
        <v>0.10724784499017355</v>
      </c>
      <c r="L41" s="37">
        <f>'Social- och hälsovårdskostnader'!$K41*$L$14</f>
        <v>2122584.5600513476</v>
      </c>
      <c r="M41" s="36">
        <v>-62992.139880000002</v>
      </c>
      <c r="N41" s="239">
        <f t="shared" si="6"/>
        <v>2059592420.1713476</v>
      </c>
      <c r="Q41" s="44"/>
      <c r="R41" s="44"/>
      <c r="S41" s="44"/>
      <c r="T41" s="44"/>
      <c r="U41" s="39"/>
      <c r="AI41" s="40"/>
      <c r="AJ41" s="40"/>
      <c r="AK41" s="40"/>
    </row>
    <row r="42" spans="1:37" x14ac:dyDescent="0.35">
      <c r="A42" s="34">
        <v>92</v>
      </c>
      <c r="B42" s="34" t="s">
        <v>84</v>
      </c>
      <c r="C42" s="35">
        <f>Bestämningsfaktor_kommunvis!C32</f>
        <v>32</v>
      </c>
      <c r="D42" s="36">
        <v>-628506</v>
      </c>
      <c r="E42" s="36">
        <v>-1277</v>
      </c>
      <c r="F42" s="36">
        <f t="shared" si="3"/>
        <v>627229</v>
      </c>
      <c r="G42" s="36">
        <v>-691172</v>
      </c>
      <c r="H42" s="36">
        <v>-1429</v>
      </c>
      <c r="I42" s="36">
        <f t="shared" si="1"/>
        <v>689743</v>
      </c>
      <c r="J42" s="37">
        <f t="shared" si="4"/>
        <v>658486</v>
      </c>
      <c r="K42" s="38">
        <f t="shared" si="5"/>
        <v>3.5319255445683907E-2</v>
      </c>
      <c r="L42" s="37">
        <f>'Social- och hälsovårdskostnader'!$K42*$L$14</f>
        <v>699017.36756003811</v>
      </c>
      <c r="M42" s="36">
        <v>-17443.572559999997</v>
      </c>
      <c r="N42" s="239">
        <f t="shared" si="6"/>
        <v>681573795.00003815</v>
      </c>
      <c r="Q42" s="44"/>
      <c r="R42" s="44"/>
      <c r="S42" s="44"/>
      <c r="T42" s="44"/>
      <c r="U42" s="39"/>
      <c r="AI42" s="40"/>
      <c r="AJ42" s="40"/>
      <c r="AK42" s="40"/>
    </row>
    <row r="43" spans="1:37" x14ac:dyDescent="0.35">
      <c r="A43" s="34">
        <v>97</v>
      </c>
      <c r="B43" s="34" t="s">
        <v>85</v>
      </c>
      <c r="C43" s="35">
        <f>Bestämningsfaktor_kommunvis!C33</f>
        <v>10</v>
      </c>
      <c r="D43" s="36">
        <v>-9203</v>
      </c>
      <c r="E43" s="36">
        <v>-28</v>
      </c>
      <c r="F43" s="36">
        <f t="shared" si="3"/>
        <v>9175</v>
      </c>
      <c r="G43" s="36">
        <v>-10063</v>
      </c>
      <c r="H43" s="36">
        <v>-33</v>
      </c>
      <c r="I43" s="36">
        <f t="shared" si="1"/>
        <v>10030</v>
      </c>
      <c r="J43" s="37">
        <f t="shared" si="4"/>
        <v>9602.5</v>
      </c>
      <c r="K43" s="38">
        <f t="shared" si="5"/>
        <v>5.1504990298530215E-4</v>
      </c>
      <c r="L43" s="37">
        <f>'Social- och hälsovårdskostnader'!$K43*$L$14</f>
        <v>10193.556540298907</v>
      </c>
      <c r="M43" s="36">
        <v>-71.683170000000004</v>
      </c>
      <c r="N43" s="239">
        <f t="shared" si="6"/>
        <v>10121873.370298907</v>
      </c>
      <c r="Q43" s="44"/>
      <c r="R43" s="44"/>
      <c r="S43" s="44"/>
      <c r="T43" s="44"/>
      <c r="U43" s="39"/>
      <c r="AI43" s="40"/>
      <c r="AJ43" s="40"/>
      <c r="AK43" s="40"/>
    </row>
    <row r="44" spans="1:37" x14ac:dyDescent="0.35">
      <c r="A44" s="34">
        <v>98</v>
      </c>
      <c r="B44" s="34" t="s">
        <v>86</v>
      </c>
      <c r="C44" s="35">
        <f>Bestämningsfaktor_kommunvis!C34</f>
        <v>7</v>
      </c>
      <c r="D44" s="36">
        <v>-72447</v>
      </c>
      <c r="E44" s="36">
        <v>-256</v>
      </c>
      <c r="F44" s="36">
        <f t="shared" si="3"/>
        <v>72191</v>
      </c>
      <c r="G44" s="36">
        <v>-76585</v>
      </c>
      <c r="H44" s="36">
        <v>-268</v>
      </c>
      <c r="I44" s="36">
        <f t="shared" si="1"/>
        <v>76317</v>
      </c>
      <c r="J44" s="37">
        <f t="shared" si="4"/>
        <v>74254</v>
      </c>
      <c r="K44" s="38">
        <f t="shared" si="5"/>
        <v>3.9827665187472669E-3</v>
      </c>
      <c r="L44" s="37">
        <f>'Social- och hälsovårdskostnader'!$K44*$L$14</f>
        <v>78824.508965722998</v>
      </c>
      <c r="M44" s="36">
        <v>-1096.25296</v>
      </c>
      <c r="N44" s="239">
        <f t="shared" si="6"/>
        <v>77728256.005723</v>
      </c>
      <c r="Q44" s="44"/>
      <c r="R44" s="44"/>
      <c r="S44" s="44"/>
      <c r="T44" s="44"/>
      <c r="U44" s="39"/>
      <c r="AE44" s="40"/>
      <c r="AF44" s="40"/>
      <c r="AI44" s="40"/>
      <c r="AJ44" s="40"/>
      <c r="AK44" s="40"/>
    </row>
    <row r="45" spans="1:37" x14ac:dyDescent="0.35">
      <c r="A45" s="34">
        <v>99</v>
      </c>
      <c r="B45" s="34" t="s">
        <v>87</v>
      </c>
      <c r="C45" s="35">
        <f>Bestämningsfaktor_kommunvis!C35</f>
        <v>4</v>
      </c>
      <c r="D45" s="36">
        <v>-6916</v>
      </c>
      <c r="E45" s="36">
        <v>-50</v>
      </c>
      <c r="F45" s="36">
        <f t="shared" si="3"/>
        <v>6866</v>
      </c>
      <c r="G45" s="36">
        <v>-6773</v>
      </c>
      <c r="H45" s="36">
        <v>-66</v>
      </c>
      <c r="I45" s="36">
        <f t="shared" si="1"/>
        <v>6707</v>
      </c>
      <c r="J45" s="37">
        <f t="shared" si="4"/>
        <v>6786.5</v>
      </c>
      <c r="K45" s="38">
        <f t="shared" si="5"/>
        <v>3.6400793195623572E-4</v>
      </c>
      <c r="L45" s="37">
        <f>'Social- och hälsovårdskostnader'!$K45*$L$14</f>
        <v>7204.2250935421544</v>
      </c>
      <c r="M45" s="36">
        <v>-37.749019999999994</v>
      </c>
      <c r="N45" s="239">
        <f t="shared" si="6"/>
        <v>7166476.0735421544</v>
      </c>
      <c r="Q45" s="44"/>
      <c r="R45" s="44"/>
      <c r="S45" s="44"/>
      <c r="T45" s="44"/>
      <c r="U45" s="39"/>
      <c r="AE45" s="40"/>
      <c r="AF45" s="40"/>
      <c r="AI45" s="40"/>
      <c r="AJ45" s="40"/>
      <c r="AK45" s="40"/>
    </row>
    <row r="46" spans="1:37" x14ac:dyDescent="0.35">
      <c r="A46" s="34">
        <v>102</v>
      </c>
      <c r="B46" s="34" t="s">
        <v>88</v>
      </c>
      <c r="C46" s="35">
        <f>Bestämningsfaktor_kommunvis!C36</f>
        <v>4</v>
      </c>
      <c r="D46" s="36">
        <v>-38378</v>
      </c>
      <c r="E46" s="36">
        <v>-199</v>
      </c>
      <c r="F46" s="36">
        <f t="shared" si="3"/>
        <v>38179</v>
      </c>
      <c r="G46" s="36">
        <v>-37961</v>
      </c>
      <c r="H46" s="36">
        <v>-210</v>
      </c>
      <c r="I46" s="36">
        <f t="shared" si="1"/>
        <v>37751</v>
      </c>
      <c r="J46" s="37">
        <f t="shared" si="4"/>
        <v>37965</v>
      </c>
      <c r="K46" s="38">
        <f t="shared" si="5"/>
        <v>2.0363311186500387E-3</v>
      </c>
      <c r="L46" s="37">
        <f>'Social- och hälsovårdskostnader'!$K46*$L$14</f>
        <v>40301.835360838115</v>
      </c>
      <c r="M46" s="36">
        <v>-298.34564</v>
      </c>
      <c r="N46" s="239">
        <f t="shared" si="6"/>
        <v>40003489.720838115</v>
      </c>
      <c r="Q46" s="44"/>
      <c r="R46" s="44"/>
      <c r="S46" s="44"/>
      <c r="T46" s="44"/>
      <c r="U46" s="39"/>
      <c r="AE46" s="40"/>
      <c r="AF46" s="40"/>
      <c r="AG46" s="45"/>
      <c r="AH46" s="10"/>
      <c r="AI46" s="8"/>
      <c r="AJ46" s="8"/>
      <c r="AK46" s="8"/>
    </row>
    <row r="47" spans="1:37" x14ac:dyDescent="0.35">
      <c r="A47" s="34">
        <v>103</v>
      </c>
      <c r="B47" s="34" t="s">
        <v>89</v>
      </c>
      <c r="C47" s="35">
        <f>Bestämningsfaktor_kommunvis!C37</f>
        <v>5</v>
      </c>
      <c r="D47" s="36">
        <v>-8483</v>
      </c>
      <c r="E47" s="36">
        <v>-61</v>
      </c>
      <c r="F47" s="36">
        <f t="shared" si="3"/>
        <v>8422</v>
      </c>
      <c r="G47" s="36">
        <v>-8315</v>
      </c>
      <c r="H47" s="36">
        <v>-59</v>
      </c>
      <c r="I47" s="36">
        <f t="shared" si="1"/>
        <v>8256</v>
      </c>
      <c r="J47" s="37">
        <f t="shared" si="4"/>
        <v>8339</v>
      </c>
      <c r="K47" s="38">
        <f t="shared" si="5"/>
        <v>4.4727947315745221E-4</v>
      </c>
      <c r="L47" s="37">
        <f>'Social- och hälsovårdskostnader'!$K47*$L$14</f>
        <v>8852.2851329916775</v>
      </c>
      <c r="M47" s="36">
        <v>-90.754360000000005</v>
      </c>
      <c r="N47" s="239">
        <f t="shared" si="6"/>
        <v>8761530.7729916759</v>
      </c>
      <c r="Q47" s="44"/>
      <c r="R47" s="44"/>
      <c r="S47" s="44"/>
      <c r="T47" s="44"/>
      <c r="U47" s="39"/>
      <c r="AE47" s="40"/>
      <c r="AF47" s="40"/>
      <c r="AG47" s="45"/>
      <c r="AH47" s="10"/>
      <c r="AI47" s="8"/>
      <c r="AJ47" s="8"/>
      <c r="AK47" s="8"/>
    </row>
    <row r="48" spans="1:37" x14ac:dyDescent="0.35">
      <c r="A48" s="34">
        <v>105</v>
      </c>
      <c r="B48" s="34" t="s">
        <v>90</v>
      </c>
      <c r="C48" s="35">
        <f>Bestämningsfaktor_kommunvis!C38</f>
        <v>18</v>
      </c>
      <c r="D48" s="36">
        <v>-12648</v>
      </c>
      <c r="E48" s="36">
        <v>-68</v>
      </c>
      <c r="F48" s="36">
        <f t="shared" si="3"/>
        <v>12580</v>
      </c>
      <c r="G48" s="36">
        <v>-12507</v>
      </c>
      <c r="H48" s="36">
        <v>-69</v>
      </c>
      <c r="I48" s="36">
        <f t="shared" si="1"/>
        <v>12438</v>
      </c>
      <c r="J48" s="37">
        <f t="shared" si="4"/>
        <v>12509</v>
      </c>
      <c r="K48" s="38">
        <f t="shared" si="5"/>
        <v>6.7094602826796616E-4</v>
      </c>
      <c r="L48" s="37">
        <f>'Social- och hälsovårdskostnader'!$K48*$L$14</f>
        <v>13278.958475667692</v>
      </c>
      <c r="M48" s="36">
        <v>-89.755229999999997</v>
      </c>
      <c r="N48" s="239">
        <f t="shared" si="6"/>
        <v>13189203.245667692</v>
      </c>
      <c r="Q48" s="44"/>
      <c r="R48" s="44"/>
      <c r="S48" s="44"/>
      <c r="T48" s="44"/>
      <c r="U48" s="39"/>
      <c r="AE48" s="40"/>
      <c r="AF48" s="40"/>
      <c r="AG48" s="8"/>
      <c r="AH48" s="8"/>
      <c r="AI48" s="8"/>
      <c r="AJ48" s="8"/>
      <c r="AK48" s="8"/>
    </row>
    <row r="49" spans="1:37" x14ac:dyDescent="0.35">
      <c r="A49" s="34">
        <v>106</v>
      </c>
      <c r="B49" s="34" t="s">
        <v>91</v>
      </c>
      <c r="C49" s="35">
        <f>Bestämningsfaktor_kommunvis!C39</f>
        <v>35</v>
      </c>
      <c r="D49" s="36">
        <v>-156088</v>
      </c>
      <c r="E49" s="36">
        <v>-401</v>
      </c>
      <c r="F49" s="36">
        <f t="shared" si="3"/>
        <v>155687</v>
      </c>
      <c r="G49" s="36">
        <v>-166934</v>
      </c>
      <c r="H49" s="36">
        <v>-418</v>
      </c>
      <c r="I49" s="36">
        <f t="shared" si="1"/>
        <v>166516</v>
      </c>
      <c r="J49" s="37">
        <f t="shared" si="4"/>
        <v>161101.5</v>
      </c>
      <c r="K49" s="38">
        <f t="shared" si="5"/>
        <v>8.6410113976346428E-3</v>
      </c>
      <c r="L49" s="37">
        <f>'Social- och hälsovårdskostnader'!$K49*$L$14</f>
        <v>171017.67758156356</v>
      </c>
      <c r="M49" s="36">
        <v>-2971.41507</v>
      </c>
      <c r="N49" s="239">
        <f t="shared" si="6"/>
        <v>168046262.51156357</v>
      </c>
      <c r="Q49" s="44"/>
      <c r="R49" s="44"/>
      <c r="S49" s="44"/>
      <c r="T49" s="44"/>
      <c r="U49" s="39"/>
      <c r="AE49" s="40"/>
      <c r="AF49" s="40"/>
      <c r="AG49" s="8"/>
      <c r="AH49" s="8"/>
      <c r="AI49" s="8"/>
      <c r="AJ49" s="8"/>
      <c r="AK49" s="8"/>
    </row>
    <row r="50" spans="1:37" x14ac:dyDescent="0.35">
      <c r="A50" s="34">
        <v>108</v>
      </c>
      <c r="B50" s="34" t="s">
        <v>92</v>
      </c>
      <c r="C50" s="35">
        <f>Bestämningsfaktor_kommunvis!C40</f>
        <v>6</v>
      </c>
      <c r="D50" s="36">
        <v>-31571</v>
      </c>
      <c r="E50" s="36">
        <v>-243</v>
      </c>
      <c r="F50" s="36">
        <f t="shared" si="3"/>
        <v>31328</v>
      </c>
      <c r="G50" s="36">
        <v>-32844</v>
      </c>
      <c r="H50" s="36">
        <v>-229</v>
      </c>
      <c r="I50" s="36">
        <f t="shared" si="1"/>
        <v>32615</v>
      </c>
      <c r="J50" s="37">
        <f t="shared" si="4"/>
        <v>31971.5</v>
      </c>
      <c r="K50" s="38">
        <f t="shared" si="5"/>
        <v>1.7148573781093036E-3</v>
      </c>
      <c r="L50" s="37">
        <f>'Social- och hälsovårdskostnader'!$K50*$L$14</f>
        <v>33939.421289056649</v>
      </c>
      <c r="M50" s="36">
        <v>-352.86311999999998</v>
      </c>
      <c r="N50" s="239">
        <f t="shared" si="6"/>
        <v>33586558.169056647</v>
      </c>
      <c r="Q50" s="44"/>
      <c r="R50" s="44"/>
      <c r="S50" s="44"/>
      <c r="T50" s="44"/>
      <c r="U50" s="39"/>
      <c r="AE50" s="40"/>
      <c r="AF50" s="40"/>
      <c r="AG50" s="8"/>
      <c r="AH50" s="8"/>
      <c r="AI50" s="8"/>
      <c r="AJ50" s="8"/>
      <c r="AK50" s="8"/>
    </row>
    <row r="51" spans="1:37" x14ac:dyDescent="0.35">
      <c r="A51" s="34">
        <v>109</v>
      </c>
      <c r="B51" s="34" t="s">
        <v>93</v>
      </c>
      <c r="C51" s="35">
        <f>Bestämningsfaktor_kommunvis!C41</f>
        <v>5</v>
      </c>
      <c r="D51" s="36">
        <v>-238705</v>
      </c>
      <c r="E51" s="36">
        <v>-545</v>
      </c>
      <c r="F51" s="36">
        <f t="shared" si="3"/>
        <v>238160</v>
      </c>
      <c r="G51" s="36">
        <v>-247578</v>
      </c>
      <c r="H51" s="36">
        <v>-577</v>
      </c>
      <c r="I51" s="36">
        <f t="shared" si="1"/>
        <v>247001</v>
      </c>
      <c r="J51" s="37">
        <f t="shared" si="4"/>
        <v>242580.5</v>
      </c>
      <c r="K51" s="38">
        <f t="shared" si="5"/>
        <v>1.3011305700716073E-2</v>
      </c>
      <c r="L51" s="37">
        <f>'Social- och hälsovårdskostnader'!$K51*$L$14</f>
        <v>257511.90235084391</v>
      </c>
      <c r="M51" s="36">
        <v>-5625.5476699999999</v>
      </c>
      <c r="N51" s="239">
        <f t="shared" si="6"/>
        <v>251886354.68084392</v>
      </c>
      <c r="Q51" s="44"/>
      <c r="R51" s="44"/>
      <c r="S51" s="44"/>
      <c r="T51" s="44"/>
      <c r="U51" s="39"/>
      <c r="AE51" s="40"/>
      <c r="AF51" s="40"/>
      <c r="AG51" s="8"/>
      <c r="AH51" s="8"/>
      <c r="AI51" s="8"/>
      <c r="AJ51" s="8"/>
      <c r="AK51" s="8"/>
    </row>
    <row r="52" spans="1:37" x14ac:dyDescent="0.35">
      <c r="A52" s="34">
        <v>111</v>
      </c>
      <c r="B52" s="34" t="s">
        <v>94</v>
      </c>
      <c r="C52" s="35">
        <f>Bestämningsfaktor_kommunvis!C42</f>
        <v>7</v>
      </c>
      <c r="D52" s="36">
        <v>-70408</v>
      </c>
      <c r="E52" s="36">
        <v>-250</v>
      </c>
      <c r="F52" s="36">
        <f t="shared" si="3"/>
        <v>70158</v>
      </c>
      <c r="G52" s="36">
        <v>-73711</v>
      </c>
      <c r="H52" s="36">
        <v>-265</v>
      </c>
      <c r="I52" s="36">
        <f t="shared" si="1"/>
        <v>73446</v>
      </c>
      <c r="J52" s="37">
        <f t="shared" si="4"/>
        <v>71802</v>
      </c>
      <c r="K52" s="38">
        <f t="shared" si="5"/>
        <v>3.8512484388597413E-3</v>
      </c>
      <c r="L52" s="37">
        <f>'Social- och hälsovårdskostnader'!$K52*$L$14</f>
        <v>76221.582578135072</v>
      </c>
      <c r="M52" s="36">
        <v>-1581.22504</v>
      </c>
      <c r="N52" s="239">
        <f t="shared" si="6"/>
        <v>74640357.538135067</v>
      </c>
      <c r="Q52" s="44"/>
      <c r="R52" s="44"/>
      <c r="S52" s="44"/>
      <c r="T52" s="44"/>
      <c r="U52" s="39"/>
      <c r="AE52" s="40"/>
      <c r="AF52" s="40"/>
      <c r="AG52" s="8"/>
      <c r="AH52" s="8"/>
      <c r="AI52" s="8"/>
      <c r="AJ52" s="8"/>
      <c r="AK52" s="8"/>
    </row>
    <row r="53" spans="1:37" x14ac:dyDescent="0.35">
      <c r="A53" s="34">
        <v>139</v>
      </c>
      <c r="B53" s="34" t="s">
        <v>95</v>
      </c>
      <c r="C53" s="35">
        <f>Bestämningsfaktor_kommunvis!C43</f>
        <v>17</v>
      </c>
      <c r="D53" s="36">
        <v>-32936</v>
      </c>
      <c r="E53" s="36">
        <v>-258</v>
      </c>
      <c r="F53" s="36">
        <f t="shared" si="3"/>
        <v>32678</v>
      </c>
      <c r="G53" s="36">
        <v>-35009</v>
      </c>
      <c r="H53" s="36">
        <v>-264</v>
      </c>
      <c r="I53" s="36">
        <f t="shared" si="1"/>
        <v>34745</v>
      </c>
      <c r="J53" s="37">
        <f t="shared" si="4"/>
        <v>33711.5</v>
      </c>
      <c r="K53" s="38">
        <f t="shared" si="5"/>
        <v>1.8081858687309571E-3</v>
      </c>
      <c r="L53" s="37">
        <f>'Social- och hälsovårdskostnader'!$K53*$L$14</f>
        <v>35786.522396072542</v>
      </c>
      <c r="M53" s="36">
        <v>-429.53346000000005</v>
      </c>
      <c r="N53" s="239">
        <f t="shared" si="6"/>
        <v>35356988.936072543</v>
      </c>
      <c r="Q53" s="44"/>
      <c r="R53" s="44"/>
      <c r="S53" s="44"/>
      <c r="T53" s="44"/>
      <c r="U53" s="39"/>
      <c r="AE53" s="40"/>
      <c r="AF53" s="40"/>
      <c r="AG53" s="45"/>
      <c r="AH53" s="10"/>
      <c r="AI53" s="45"/>
      <c r="AJ53" s="45"/>
      <c r="AK53" s="45"/>
    </row>
    <row r="54" spans="1:37" x14ac:dyDescent="0.35">
      <c r="A54" s="34">
        <v>140</v>
      </c>
      <c r="B54" s="34" t="s">
        <v>96</v>
      </c>
      <c r="C54" s="35">
        <f>Bestämningsfaktor_kommunvis!C44</f>
        <v>11</v>
      </c>
      <c r="D54" s="36">
        <v>-77281</v>
      </c>
      <c r="E54" s="36">
        <v>-795</v>
      </c>
      <c r="F54" s="36">
        <f t="shared" si="3"/>
        <v>76486</v>
      </c>
      <c r="G54" s="36">
        <v>-81459</v>
      </c>
      <c r="H54" s="36">
        <v>-797</v>
      </c>
      <c r="I54" s="36">
        <f t="shared" si="1"/>
        <v>80662</v>
      </c>
      <c r="J54" s="37">
        <f t="shared" si="4"/>
        <v>78574</v>
      </c>
      <c r="K54" s="38">
        <f t="shared" si="5"/>
        <v>4.2144786333941303E-3</v>
      </c>
      <c r="L54" s="37">
        <f>'Social- och hälsovårdskostnader'!$K54*$L$14</f>
        <v>83410.415162452104</v>
      </c>
      <c r="M54" s="36">
        <v>-1406.5075200000001</v>
      </c>
      <c r="N54" s="239">
        <f t="shared" si="6"/>
        <v>82003907.642452106</v>
      </c>
      <c r="Q54" s="44"/>
      <c r="R54" s="44"/>
      <c r="S54" s="44"/>
      <c r="T54" s="44"/>
      <c r="U54" s="39"/>
      <c r="AE54" s="40"/>
      <c r="AF54" s="7"/>
      <c r="AG54" s="46"/>
      <c r="AH54" s="46"/>
      <c r="AI54" s="8"/>
      <c r="AJ54" s="8"/>
      <c r="AK54" s="8"/>
    </row>
    <row r="55" spans="1:37" x14ac:dyDescent="0.35">
      <c r="A55" s="34">
        <v>142</v>
      </c>
      <c r="B55" s="34" t="s">
        <v>97</v>
      </c>
      <c r="C55" s="35">
        <f>Bestämningsfaktor_kommunvis!C45</f>
        <v>7</v>
      </c>
      <c r="D55" s="36">
        <v>-25610</v>
      </c>
      <c r="E55" s="36">
        <v>-116</v>
      </c>
      <c r="F55" s="36">
        <f t="shared" si="3"/>
        <v>25494</v>
      </c>
      <c r="G55" s="36">
        <v>-27611</v>
      </c>
      <c r="H55" s="36">
        <v>-116</v>
      </c>
      <c r="I55" s="36">
        <f t="shared" si="1"/>
        <v>27495</v>
      </c>
      <c r="J55" s="37">
        <f t="shared" si="4"/>
        <v>26494.5</v>
      </c>
      <c r="K55" s="38">
        <f t="shared" si="5"/>
        <v>1.4210871809053984E-3</v>
      </c>
      <c r="L55" s="37">
        <f>'Social- och hälsovårdskostnader'!$K55*$L$14</f>
        <v>28125.299011398009</v>
      </c>
      <c r="M55" s="36">
        <v>-338.50824</v>
      </c>
      <c r="N55" s="239">
        <f t="shared" si="6"/>
        <v>27786790.771398008</v>
      </c>
      <c r="Q55" s="44"/>
      <c r="R55" s="44"/>
      <c r="S55" s="44"/>
      <c r="T55" s="44"/>
      <c r="U55" s="39"/>
      <c r="AE55" s="40"/>
      <c r="AF55" s="7"/>
      <c r="AG55" s="46"/>
      <c r="AH55" s="46"/>
      <c r="AI55" s="8"/>
      <c r="AJ55" s="8"/>
      <c r="AK55" s="8"/>
    </row>
    <row r="56" spans="1:37" x14ac:dyDescent="0.35">
      <c r="A56" s="34">
        <v>143</v>
      </c>
      <c r="B56" s="34" t="s">
        <v>98</v>
      </c>
      <c r="C56" s="35">
        <f>Bestämningsfaktor_kommunvis!C46</f>
        <v>6</v>
      </c>
      <c r="D56" s="36">
        <v>-27277</v>
      </c>
      <c r="E56" s="36">
        <v>-168</v>
      </c>
      <c r="F56" s="36">
        <f t="shared" si="3"/>
        <v>27109</v>
      </c>
      <c r="G56" s="36">
        <v>-28035</v>
      </c>
      <c r="H56" s="36">
        <v>-164</v>
      </c>
      <c r="I56" s="36">
        <f t="shared" si="1"/>
        <v>27871</v>
      </c>
      <c r="J56" s="37">
        <f t="shared" si="4"/>
        <v>27490</v>
      </c>
      <c r="K56" s="38">
        <f t="shared" si="5"/>
        <v>1.4744828776949708E-3</v>
      </c>
      <c r="L56" s="37">
        <f>'Social- och hälsovårdskostnader'!$K56*$L$14</f>
        <v>29182.074386130378</v>
      </c>
      <c r="M56" s="36">
        <v>-196.24517</v>
      </c>
      <c r="N56" s="239">
        <f t="shared" si="6"/>
        <v>28985829.21613038</v>
      </c>
      <c r="Q56" s="44"/>
      <c r="R56" s="44"/>
      <c r="S56" s="44"/>
      <c r="T56" s="44"/>
      <c r="U56" s="39"/>
      <c r="AE56" s="40"/>
      <c r="AF56" s="7"/>
      <c r="AG56" s="46"/>
      <c r="AH56" s="46"/>
      <c r="AI56" s="8"/>
      <c r="AJ56" s="8"/>
      <c r="AK56" s="8"/>
    </row>
    <row r="57" spans="1:37" x14ac:dyDescent="0.35">
      <c r="A57" s="34">
        <v>145</v>
      </c>
      <c r="B57" s="34" t="s">
        <v>99</v>
      </c>
      <c r="C57" s="35">
        <f>Bestämningsfaktor_kommunvis!C47</f>
        <v>14</v>
      </c>
      <c r="D57" s="36">
        <v>-38258</v>
      </c>
      <c r="E57" s="36">
        <v>-177</v>
      </c>
      <c r="F57" s="36">
        <f t="shared" si="3"/>
        <v>38081</v>
      </c>
      <c r="G57" s="36">
        <v>-41650</v>
      </c>
      <c r="H57" s="36">
        <v>-123</v>
      </c>
      <c r="I57" s="36">
        <f t="shared" si="1"/>
        <v>41527</v>
      </c>
      <c r="J57" s="37">
        <f t="shared" si="4"/>
        <v>39804</v>
      </c>
      <c r="K57" s="38">
        <f t="shared" si="5"/>
        <v>2.1349696785656828E-3</v>
      </c>
      <c r="L57" s="37">
        <f>'Social- och hälsovårdskostnader'!$K57*$L$14</f>
        <v>42254.030151529048</v>
      </c>
      <c r="M57" s="36">
        <v>-386.15931999999998</v>
      </c>
      <c r="N57" s="239">
        <f t="shared" si="6"/>
        <v>41867870.831529051</v>
      </c>
      <c r="Q57" s="44"/>
      <c r="R57" s="44"/>
      <c r="S57" s="44"/>
      <c r="T57" s="44"/>
      <c r="U57" s="39"/>
      <c r="AE57" s="40"/>
      <c r="AF57" s="7"/>
      <c r="AG57" s="46"/>
      <c r="AH57" s="46"/>
      <c r="AI57" s="8"/>
      <c r="AJ57" s="8"/>
      <c r="AK57" s="8"/>
    </row>
    <row r="58" spans="1:37" x14ac:dyDescent="0.35">
      <c r="A58" s="34">
        <v>146</v>
      </c>
      <c r="B58" s="34" t="s">
        <v>100</v>
      </c>
      <c r="C58" s="35">
        <f>Bestämningsfaktor_kommunvis!C48</f>
        <v>12</v>
      </c>
      <c r="D58" s="36">
        <v>-26407</v>
      </c>
      <c r="E58" s="36">
        <v>-92</v>
      </c>
      <c r="F58" s="36">
        <f t="shared" si="3"/>
        <v>26315</v>
      </c>
      <c r="G58" s="36">
        <v>-27306</v>
      </c>
      <c r="H58" s="36">
        <v>-97</v>
      </c>
      <c r="I58" s="36">
        <f t="shared" si="1"/>
        <v>27209</v>
      </c>
      <c r="J58" s="37">
        <f t="shared" si="4"/>
        <v>26762</v>
      </c>
      <c r="K58" s="38">
        <f t="shared" si="5"/>
        <v>1.4354350954118883E-3</v>
      </c>
      <c r="L58" s="37">
        <f>'Social- och hälsovårdskostnader'!$K58*$L$14</f>
        <v>28409.264267792696</v>
      </c>
      <c r="M58" s="36">
        <v>-348.93993999999998</v>
      </c>
      <c r="N58" s="239">
        <f t="shared" si="6"/>
        <v>28060324.327792697</v>
      </c>
      <c r="Q58" s="44"/>
      <c r="R58" s="44"/>
      <c r="S58" s="44"/>
      <c r="T58" s="44"/>
      <c r="U58" s="39"/>
      <c r="AE58" s="40"/>
      <c r="AF58" s="7"/>
      <c r="AG58" s="46"/>
      <c r="AH58" s="46"/>
      <c r="AI58" s="8"/>
      <c r="AJ58" s="8"/>
      <c r="AK58" s="8"/>
    </row>
    <row r="59" spans="1:37" x14ac:dyDescent="0.35">
      <c r="A59" s="34">
        <v>148</v>
      </c>
      <c r="B59" s="34" t="s">
        <v>101</v>
      </c>
      <c r="C59" s="35">
        <f>Bestämningsfaktor_kommunvis!C49</f>
        <v>19</v>
      </c>
      <c r="D59" s="36">
        <v>-29705</v>
      </c>
      <c r="E59" s="36">
        <v>-372</v>
      </c>
      <c r="F59" s="36">
        <f t="shared" si="3"/>
        <v>29333</v>
      </c>
      <c r="G59" s="36">
        <v>-30005</v>
      </c>
      <c r="H59" s="36">
        <v>-359</v>
      </c>
      <c r="I59" s="36">
        <f t="shared" si="1"/>
        <v>29646</v>
      </c>
      <c r="J59" s="37">
        <f t="shared" si="4"/>
        <v>29489.5</v>
      </c>
      <c r="K59" s="38">
        <f t="shared" si="5"/>
        <v>1.5817301863145087E-3</v>
      </c>
      <c r="L59" s="37">
        <f>'Social- och hälsovårdskostnader'!$K59*$L$14</f>
        <v>31304.648330658121</v>
      </c>
      <c r="M59" s="36">
        <v>-312.00140999999996</v>
      </c>
      <c r="N59" s="239">
        <f t="shared" si="6"/>
        <v>30992646.920658119</v>
      </c>
      <c r="Q59" s="44"/>
      <c r="R59" s="44"/>
      <c r="S59" s="44"/>
      <c r="T59" s="44"/>
      <c r="U59" s="39"/>
      <c r="AE59" s="40"/>
      <c r="AF59" s="7"/>
      <c r="AG59" s="7"/>
      <c r="AH59" s="7"/>
    </row>
    <row r="60" spans="1:37" x14ac:dyDescent="0.35">
      <c r="A60" s="34">
        <v>149</v>
      </c>
      <c r="B60" s="34" t="s">
        <v>102</v>
      </c>
      <c r="C60" s="35">
        <f>Bestämningsfaktor_kommunvis!C50</f>
        <v>33</v>
      </c>
      <c r="D60" s="36">
        <v>-17143</v>
      </c>
      <c r="E60" s="36">
        <v>-81</v>
      </c>
      <c r="F60" s="36">
        <f t="shared" si="3"/>
        <v>17062</v>
      </c>
      <c r="G60" s="36">
        <v>-18455</v>
      </c>
      <c r="H60" s="36">
        <v>-78</v>
      </c>
      <c r="I60" s="36">
        <f t="shared" si="1"/>
        <v>18377</v>
      </c>
      <c r="J60" s="37">
        <f t="shared" si="4"/>
        <v>17719.5</v>
      </c>
      <c r="K60" s="38">
        <f t="shared" si="5"/>
        <v>9.5042194802895722E-4</v>
      </c>
      <c r="L60" s="37">
        <f>'Social- och hälsovårdskostnader'!$K60*$L$14</f>
        <v>18810.177049292004</v>
      </c>
      <c r="M60" s="36">
        <v>-251.09539999999998</v>
      </c>
      <c r="N60" s="239">
        <f t="shared" si="6"/>
        <v>18559081.649292007</v>
      </c>
      <c r="Q60" s="44"/>
      <c r="R60" s="44"/>
      <c r="S60" s="44"/>
      <c r="T60" s="44"/>
      <c r="U60" s="39"/>
      <c r="AE60" s="40"/>
      <c r="AF60" s="7"/>
      <c r="AG60" s="7"/>
      <c r="AH60" s="7"/>
    </row>
    <row r="61" spans="1:37" x14ac:dyDescent="0.35">
      <c r="A61" s="34">
        <v>151</v>
      </c>
      <c r="B61" s="34" t="s">
        <v>103</v>
      </c>
      <c r="C61" s="35">
        <f>Bestämningsfaktor_kommunvis!C51</f>
        <v>14</v>
      </c>
      <c r="D61" s="36">
        <v>-10102</v>
      </c>
      <c r="E61" s="36">
        <v>-68</v>
      </c>
      <c r="F61" s="36">
        <f t="shared" si="3"/>
        <v>10034</v>
      </c>
      <c r="G61" s="36">
        <v>-9898</v>
      </c>
      <c r="H61" s="36">
        <v>-64</v>
      </c>
      <c r="I61" s="36">
        <f t="shared" si="1"/>
        <v>9834</v>
      </c>
      <c r="J61" s="37">
        <f t="shared" si="4"/>
        <v>9934</v>
      </c>
      <c r="K61" s="38">
        <f t="shared" si="5"/>
        <v>5.3283058956063445E-4</v>
      </c>
      <c r="L61" s="37">
        <f>'Social- och hälsovårdskostnader'!$K61*$L$14</f>
        <v>10545.461147756245</v>
      </c>
      <c r="M61" s="36">
        <v>-26.280429999999999</v>
      </c>
      <c r="N61" s="239">
        <f t="shared" si="6"/>
        <v>10519180.717756243</v>
      </c>
      <c r="Q61" s="44"/>
      <c r="R61" s="44"/>
      <c r="S61" s="44"/>
      <c r="T61" s="44"/>
      <c r="U61" s="39"/>
      <c r="AE61" s="40"/>
      <c r="AF61" s="7"/>
      <c r="AG61" s="7"/>
      <c r="AH61" s="7"/>
    </row>
    <row r="62" spans="1:37" x14ac:dyDescent="0.35">
      <c r="A62" s="34">
        <v>152</v>
      </c>
      <c r="B62" s="34" t="s">
        <v>104</v>
      </c>
      <c r="C62" s="35">
        <f>Bestämningsfaktor_kommunvis!C52</f>
        <v>14</v>
      </c>
      <c r="D62" s="36">
        <v>-15463</v>
      </c>
      <c r="E62" s="36">
        <v>-84</v>
      </c>
      <c r="F62" s="36">
        <f t="shared" si="3"/>
        <v>15379</v>
      </c>
      <c r="G62" s="36">
        <v>-17177</v>
      </c>
      <c r="H62" s="36">
        <v>-92</v>
      </c>
      <c r="I62" s="36">
        <f t="shared" si="1"/>
        <v>17085</v>
      </c>
      <c r="J62" s="37">
        <f t="shared" si="4"/>
        <v>16232</v>
      </c>
      <c r="K62" s="38">
        <f t="shared" si="5"/>
        <v>8.7063681596015886E-4</v>
      </c>
      <c r="L62" s="37">
        <f>'Social- och hälsovårdskostnader'!$K62*$L$14</f>
        <v>17231.117913265491</v>
      </c>
      <c r="M62" s="36">
        <v>-157.90779000000001</v>
      </c>
      <c r="N62" s="239">
        <f t="shared" si="6"/>
        <v>17073210.12326549</v>
      </c>
      <c r="Q62" s="44"/>
      <c r="R62" s="44"/>
      <c r="S62" s="44"/>
      <c r="T62" s="44"/>
      <c r="U62" s="39"/>
      <c r="AE62" s="40"/>
      <c r="AF62" s="7"/>
      <c r="AG62" s="7"/>
      <c r="AH62" s="7"/>
    </row>
    <row r="63" spans="1:37" x14ac:dyDescent="0.35">
      <c r="A63" s="34">
        <v>153</v>
      </c>
      <c r="B63" s="34" t="s">
        <v>105</v>
      </c>
      <c r="C63" s="35">
        <f>Bestämningsfaktor_kommunvis!C53</f>
        <v>9</v>
      </c>
      <c r="D63" s="36">
        <v>-92320</v>
      </c>
      <c r="E63" s="36">
        <v>-470</v>
      </c>
      <c r="F63" s="36">
        <f t="shared" si="3"/>
        <v>91850</v>
      </c>
      <c r="G63" s="36">
        <v>-92025</v>
      </c>
      <c r="H63" s="36">
        <v>-463</v>
      </c>
      <c r="I63" s="36">
        <f t="shared" si="1"/>
        <v>91562</v>
      </c>
      <c r="J63" s="37">
        <f t="shared" si="4"/>
        <v>91706</v>
      </c>
      <c r="K63" s="38">
        <f t="shared" si="5"/>
        <v>4.9188405522697341E-3</v>
      </c>
      <c r="L63" s="37">
        <f>'Social- och hälsovårdskostnader'!$K63*$L$14</f>
        <v>97350.720758620315</v>
      </c>
      <c r="M63" s="36">
        <v>-2023.2737999999999</v>
      </c>
      <c r="N63" s="239">
        <f t="shared" si="6"/>
        <v>95327446.958620325</v>
      </c>
      <c r="Q63" s="44"/>
      <c r="R63" s="44"/>
      <c r="S63" s="44"/>
      <c r="T63" s="44"/>
      <c r="U63" s="39"/>
      <c r="AE63" s="40"/>
      <c r="AF63" s="7"/>
      <c r="AG63" s="7"/>
      <c r="AH63" s="7"/>
    </row>
    <row r="64" spans="1:37" x14ac:dyDescent="0.35">
      <c r="A64" s="34">
        <v>165</v>
      </c>
      <c r="B64" s="34" t="s">
        <v>106</v>
      </c>
      <c r="C64" s="35">
        <f>Bestämningsfaktor_kommunvis!C54</f>
        <v>5</v>
      </c>
      <c r="D64" s="36">
        <v>-52138</v>
      </c>
      <c r="E64" s="36">
        <v>-265</v>
      </c>
      <c r="F64" s="36">
        <f t="shared" si="3"/>
        <v>51873</v>
      </c>
      <c r="G64" s="36">
        <v>-54275</v>
      </c>
      <c r="H64" s="36">
        <v>-219</v>
      </c>
      <c r="I64" s="36">
        <f t="shared" si="1"/>
        <v>54056</v>
      </c>
      <c r="J64" s="37">
        <f t="shared" si="4"/>
        <v>52964.5</v>
      </c>
      <c r="K64" s="38">
        <f t="shared" si="5"/>
        <v>2.8408602537531931E-3</v>
      </c>
      <c r="L64" s="37">
        <f>'Social- och hälsovårdskostnader'!$K64*$L$14</f>
        <v>56224.589989967346</v>
      </c>
      <c r="M64" s="36">
        <v>-825.17840999999999</v>
      </c>
      <c r="N64" s="239">
        <f t="shared" si="6"/>
        <v>55399411.579967342</v>
      </c>
      <c r="Q64" s="44"/>
      <c r="R64" s="44"/>
      <c r="S64" s="44"/>
      <c r="T64" s="44"/>
      <c r="U64" s="39"/>
      <c r="AE64" s="40"/>
      <c r="AF64" s="7"/>
      <c r="AG64" s="7"/>
      <c r="AH64" s="7"/>
    </row>
    <row r="65" spans="1:37" x14ac:dyDescent="0.35">
      <c r="A65" s="34">
        <v>167</v>
      </c>
      <c r="B65" s="34" t="s">
        <v>107</v>
      </c>
      <c r="C65" s="35">
        <f>Bestämningsfaktor_kommunvis!C55</f>
        <v>12</v>
      </c>
      <c r="D65" s="36">
        <v>-242392</v>
      </c>
      <c r="E65" s="36">
        <v>-1099</v>
      </c>
      <c r="F65" s="36">
        <f t="shared" si="3"/>
        <v>241293</v>
      </c>
      <c r="G65" s="36">
        <v>-249086</v>
      </c>
      <c r="H65" s="36">
        <v>-1126</v>
      </c>
      <c r="I65" s="36">
        <f t="shared" si="1"/>
        <v>247960</v>
      </c>
      <c r="J65" s="37">
        <f t="shared" si="4"/>
        <v>244626.5</v>
      </c>
      <c r="K65" s="38">
        <f t="shared" si="5"/>
        <v>1.312104713279188E-2</v>
      </c>
      <c r="L65" s="37">
        <f>'Social- och hälsovårdskostnader'!$K65*$L$14</f>
        <v>259683.83848012815</v>
      </c>
      <c r="M65" s="36">
        <v>-9665.0268500000002</v>
      </c>
      <c r="N65" s="239">
        <f t="shared" si="6"/>
        <v>250018811.63012815</v>
      </c>
      <c r="Q65" s="44"/>
      <c r="R65" s="44"/>
      <c r="S65" s="44"/>
      <c r="T65" s="44"/>
      <c r="U65" s="39"/>
      <c r="AE65" s="40"/>
      <c r="AF65" s="7"/>
      <c r="AG65" s="7"/>
      <c r="AH65" s="7"/>
    </row>
    <row r="66" spans="1:37" x14ac:dyDescent="0.35">
      <c r="A66" s="34">
        <v>169</v>
      </c>
      <c r="B66" s="34" t="s">
        <v>108</v>
      </c>
      <c r="C66" s="35">
        <f>Bestämningsfaktor_kommunvis!C56</f>
        <v>5</v>
      </c>
      <c r="D66" s="36">
        <v>-16169</v>
      </c>
      <c r="E66" s="36">
        <v>-106</v>
      </c>
      <c r="F66" s="36">
        <f t="shared" si="3"/>
        <v>16063</v>
      </c>
      <c r="G66" s="36">
        <v>-16546</v>
      </c>
      <c r="H66" s="36">
        <v>-117</v>
      </c>
      <c r="I66" s="36">
        <f t="shared" si="1"/>
        <v>16429</v>
      </c>
      <c r="J66" s="37">
        <f t="shared" si="4"/>
        <v>16246</v>
      </c>
      <c r="K66" s="38">
        <f t="shared" si="5"/>
        <v>8.7138773485021805E-4</v>
      </c>
      <c r="L66" s="37">
        <f>'Social- och hälsovårdskostnader'!$K66*$L$14</f>
        <v>17245.979646310443</v>
      </c>
      <c r="M66" s="36">
        <v>-182.74010999999999</v>
      </c>
      <c r="N66" s="239">
        <f t="shared" si="6"/>
        <v>17063239.536310446</v>
      </c>
      <c r="Q66" s="44"/>
      <c r="R66" s="44"/>
      <c r="S66" s="44"/>
      <c r="T66" s="44"/>
      <c r="U66" s="39"/>
      <c r="AE66" s="40"/>
      <c r="AF66" s="7"/>
      <c r="AG66" s="7"/>
      <c r="AH66" s="7"/>
    </row>
    <row r="67" spans="1:37" x14ac:dyDescent="0.35">
      <c r="A67" s="34">
        <v>171</v>
      </c>
      <c r="B67" s="34" t="s">
        <v>109</v>
      </c>
      <c r="C67" s="35">
        <f>Bestämningsfaktor_kommunvis!C57</f>
        <v>11</v>
      </c>
      <c r="D67" s="36">
        <v>-18504</v>
      </c>
      <c r="E67" s="36">
        <v>-139</v>
      </c>
      <c r="F67" s="36">
        <f t="shared" si="3"/>
        <v>18365</v>
      </c>
      <c r="G67" s="36">
        <v>-18519</v>
      </c>
      <c r="H67" s="36">
        <v>-137</v>
      </c>
      <c r="I67" s="36">
        <f t="shared" si="1"/>
        <v>18382</v>
      </c>
      <c r="J67" s="37">
        <f t="shared" si="4"/>
        <v>18373.5</v>
      </c>
      <c r="K67" s="38">
        <f t="shared" si="5"/>
        <v>9.8550058760744083E-4</v>
      </c>
      <c r="L67" s="37">
        <f>'Social- och hälsovårdskostnader'!$K67*$L$14</f>
        <v>19504.432292963498</v>
      </c>
      <c r="M67" s="36">
        <v>-151.23948000000001</v>
      </c>
      <c r="N67" s="239">
        <f t="shared" si="6"/>
        <v>19353192.812963497</v>
      </c>
      <c r="Q67" s="44"/>
      <c r="R67" s="44"/>
      <c r="S67" s="44"/>
      <c r="T67" s="44"/>
      <c r="U67" s="39"/>
      <c r="AE67" s="40"/>
      <c r="AF67" s="7"/>
      <c r="AG67" s="7"/>
      <c r="AH67" s="7"/>
    </row>
    <row r="68" spans="1:37" x14ac:dyDescent="0.35">
      <c r="A68" s="34">
        <v>172</v>
      </c>
      <c r="B68" s="34" t="s">
        <v>110</v>
      </c>
      <c r="C68" s="35">
        <f>Bestämningsfaktor_kommunvis!C58</f>
        <v>13</v>
      </c>
      <c r="D68" s="36">
        <v>-20165</v>
      </c>
      <c r="E68" s="36">
        <v>-144</v>
      </c>
      <c r="F68" s="36">
        <f t="shared" si="3"/>
        <v>20021</v>
      </c>
      <c r="G68" s="36">
        <v>-21335</v>
      </c>
      <c r="H68" s="36">
        <v>-142</v>
      </c>
      <c r="I68" s="36">
        <f t="shared" si="1"/>
        <v>21193</v>
      </c>
      <c r="J68" s="37">
        <f t="shared" si="4"/>
        <v>20607</v>
      </c>
      <c r="K68" s="38">
        <f t="shared" si="5"/>
        <v>1.1052989691036836E-3</v>
      </c>
      <c r="L68" s="37">
        <f>'Social- och hälsovårdskostnader'!$K68*$L$14</f>
        <v>21875.409489814065</v>
      </c>
      <c r="M68" s="36">
        <v>-367.03841</v>
      </c>
      <c r="N68" s="239">
        <f t="shared" si="6"/>
        <v>21508371.079814065</v>
      </c>
      <c r="Q68" s="44"/>
      <c r="R68" s="44"/>
      <c r="S68" s="44"/>
      <c r="T68" s="44"/>
      <c r="U68" s="39"/>
      <c r="AE68" s="40"/>
      <c r="AF68" s="7"/>
      <c r="AG68" s="7"/>
      <c r="AH68" s="7"/>
    </row>
    <row r="69" spans="1:37" x14ac:dyDescent="0.35">
      <c r="A69" s="34">
        <v>176</v>
      </c>
      <c r="B69" s="34" t="s">
        <v>111</v>
      </c>
      <c r="C69" s="35">
        <f>Bestämningsfaktor_kommunvis!C59</f>
        <v>12</v>
      </c>
      <c r="D69" s="36">
        <v>-24507</v>
      </c>
      <c r="E69" s="36">
        <v>-133</v>
      </c>
      <c r="F69" s="36">
        <f t="shared" si="3"/>
        <v>24374</v>
      </c>
      <c r="G69" s="36">
        <v>-24933</v>
      </c>
      <c r="H69" s="36">
        <v>-84</v>
      </c>
      <c r="I69" s="36">
        <f t="shared" si="1"/>
        <v>24849</v>
      </c>
      <c r="J69" s="37">
        <f t="shared" si="4"/>
        <v>24611.5</v>
      </c>
      <c r="K69" s="38">
        <f t="shared" si="5"/>
        <v>1.3200885901924254E-3</v>
      </c>
      <c r="L69" s="37">
        <f>'Social- och hälsovårdskostnader'!$K69*$L$14</f>
        <v>26126.395916851503</v>
      </c>
      <c r="M69" s="36">
        <v>-323.50428000000005</v>
      </c>
      <c r="N69" s="239">
        <f t="shared" si="6"/>
        <v>25802891.636851501</v>
      </c>
      <c r="Q69" s="44"/>
      <c r="R69" s="44"/>
      <c r="S69" s="44"/>
      <c r="T69" s="44"/>
      <c r="U69" s="39"/>
      <c r="AE69" s="40"/>
      <c r="AF69" s="7"/>
      <c r="AG69" s="7"/>
      <c r="AH69" s="7"/>
    </row>
    <row r="70" spans="1:37" x14ac:dyDescent="0.35">
      <c r="A70" s="34">
        <v>177</v>
      </c>
      <c r="B70" s="34" t="s">
        <v>112</v>
      </c>
      <c r="C70" s="35">
        <f>Bestämningsfaktor_kommunvis!C60</f>
        <v>6</v>
      </c>
      <c r="D70" s="36">
        <v>-7164</v>
      </c>
      <c r="E70" s="36">
        <v>-53</v>
      </c>
      <c r="F70" s="36">
        <f t="shared" si="3"/>
        <v>7111</v>
      </c>
      <c r="G70" s="36">
        <v>-7118</v>
      </c>
      <c r="H70" s="36">
        <v>-61</v>
      </c>
      <c r="I70" s="36">
        <f t="shared" si="1"/>
        <v>7057</v>
      </c>
      <c r="J70" s="37">
        <f t="shared" si="4"/>
        <v>7084</v>
      </c>
      <c r="K70" s="38">
        <f t="shared" si="5"/>
        <v>3.7996495836999539E-4</v>
      </c>
      <c r="L70" s="37">
        <f>'Social- och hälsovårdskostnader'!$K70*$L$14</f>
        <v>7520.0369207474569</v>
      </c>
      <c r="M70" s="36">
        <v>-62.27619</v>
      </c>
      <c r="N70" s="239">
        <f t="shared" si="6"/>
        <v>7457760.7307474576</v>
      </c>
      <c r="Q70" s="44"/>
      <c r="R70" s="44"/>
      <c r="S70" s="44"/>
      <c r="T70" s="44"/>
      <c r="U70" s="39"/>
      <c r="AE70" s="40"/>
      <c r="AF70" s="7"/>
      <c r="AG70" s="7"/>
      <c r="AH70" s="7"/>
    </row>
    <row r="71" spans="1:37" x14ac:dyDescent="0.35">
      <c r="A71" s="34">
        <v>178</v>
      </c>
      <c r="B71" s="34" t="s">
        <v>113</v>
      </c>
      <c r="C71" s="35">
        <f>Bestämningsfaktor_kommunvis!C61</f>
        <v>10</v>
      </c>
      <c r="D71" s="36">
        <v>-25919</v>
      </c>
      <c r="E71" s="36">
        <v>-389</v>
      </c>
      <c r="F71" s="36">
        <f t="shared" si="3"/>
        <v>25530</v>
      </c>
      <c r="G71" s="36">
        <v>-26865</v>
      </c>
      <c r="H71" s="36">
        <v>-360</v>
      </c>
      <c r="I71" s="36">
        <f t="shared" si="1"/>
        <v>26505</v>
      </c>
      <c r="J71" s="37">
        <f t="shared" si="4"/>
        <v>26017.5</v>
      </c>
      <c r="K71" s="38">
        <f t="shared" si="5"/>
        <v>1.3955023015798072E-3</v>
      </c>
      <c r="L71" s="37">
        <f>'Social- och hälsovårdskostnader'!$K71*$L$14</f>
        <v>27618.938535509169</v>
      </c>
      <c r="M71" s="36">
        <v>-131.39857000000001</v>
      </c>
      <c r="N71" s="239">
        <f t="shared" si="6"/>
        <v>27487539.965509169</v>
      </c>
      <c r="Q71" s="44"/>
      <c r="R71" s="44"/>
      <c r="S71" s="44"/>
      <c r="T71" s="44"/>
      <c r="U71" s="39"/>
      <c r="AE71" s="40"/>
      <c r="AF71" s="7"/>
      <c r="AG71" s="7"/>
      <c r="AH71" s="7"/>
    </row>
    <row r="72" spans="1:37" x14ac:dyDescent="0.35">
      <c r="A72" s="34">
        <v>179</v>
      </c>
      <c r="B72" s="34" t="s">
        <v>114</v>
      </c>
      <c r="C72" s="35">
        <f>Bestämningsfaktor_kommunvis!C62</f>
        <v>13</v>
      </c>
      <c r="D72" s="36">
        <v>-413165</v>
      </c>
      <c r="E72" s="36">
        <v>-972</v>
      </c>
      <c r="F72" s="36">
        <f t="shared" si="3"/>
        <v>412193</v>
      </c>
      <c r="G72" s="36">
        <v>-422888</v>
      </c>
      <c r="H72" s="36">
        <v>-958</v>
      </c>
      <c r="I72" s="36">
        <f t="shared" si="1"/>
        <v>421930</v>
      </c>
      <c r="J72" s="37">
        <f t="shared" si="4"/>
        <v>417061.5</v>
      </c>
      <c r="K72" s="38">
        <f t="shared" si="5"/>
        <v>2.2369954190461297E-2</v>
      </c>
      <c r="L72" s="37">
        <f>'Social- och hälsovårdskostnader'!$K72*$L$14</f>
        <v>442732.61973776331</v>
      </c>
      <c r="M72" s="36">
        <v>-16146.354369999999</v>
      </c>
      <c r="N72" s="239">
        <f t="shared" si="6"/>
        <v>426586265.36776328</v>
      </c>
      <c r="Q72" s="44"/>
      <c r="R72" s="44"/>
      <c r="S72" s="44"/>
      <c r="T72" s="44"/>
      <c r="U72" s="39"/>
      <c r="AE72" s="40"/>
      <c r="AF72" s="7"/>
      <c r="AG72" s="7"/>
      <c r="AH72" s="7"/>
    </row>
    <row r="73" spans="1:37" x14ac:dyDescent="0.35">
      <c r="A73" s="34">
        <v>181</v>
      </c>
      <c r="B73" s="34" t="s">
        <v>115</v>
      </c>
      <c r="C73" s="35">
        <f>Bestämningsfaktor_kommunvis!C63</f>
        <v>4</v>
      </c>
      <c r="D73" s="36">
        <v>-6825</v>
      </c>
      <c r="E73" s="36">
        <v>-78</v>
      </c>
      <c r="F73" s="36">
        <f t="shared" si="3"/>
        <v>6747</v>
      </c>
      <c r="G73" s="36">
        <v>-7150</v>
      </c>
      <c r="H73" s="36">
        <v>-84</v>
      </c>
      <c r="I73" s="36">
        <f t="shared" si="1"/>
        <v>7066</v>
      </c>
      <c r="J73" s="37">
        <f t="shared" si="4"/>
        <v>6906.5</v>
      </c>
      <c r="K73" s="38">
        <f t="shared" si="5"/>
        <v>3.7044437958531521E-4</v>
      </c>
      <c r="L73" s="37">
        <f>'Social- och hälsovårdskostnader'!$K73*$L$14</f>
        <v>7331.6113767846282</v>
      </c>
      <c r="M73" s="36">
        <v>-34.203470000000003</v>
      </c>
      <c r="N73" s="239">
        <f t="shared" si="6"/>
        <v>7297407.9067846276</v>
      </c>
      <c r="Q73" s="44"/>
      <c r="R73" s="44"/>
      <c r="S73" s="44"/>
      <c r="T73" s="44"/>
      <c r="U73" s="39"/>
      <c r="AE73" s="40"/>
      <c r="AF73" s="7"/>
      <c r="AG73" s="7"/>
      <c r="AH73" s="7"/>
      <c r="AI73" s="9"/>
      <c r="AJ73" s="9"/>
      <c r="AK73" s="9"/>
    </row>
    <row r="74" spans="1:37" x14ac:dyDescent="0.35">
      <c r="A74" s="34">
        <v>182</v>
      </c>
      <c r="B74" s="34" t="s">
        <v>116</v>
      </c>
      <c r="C74" s="35">
        <f>Bestämningsfaktor_kommunvis!C64</f>
        <v>13</v>
      </c>
      <c r="D74" s="36">
        <v>-85575</v>
      </c>
      <c r="E74" s="36">
        <v>-458</v>
      </c>
      <c r="F74" s="36">
        <f t="shared" si="3"/>
        <v>85117</v>
      </c>
      <c r="G74" s="36">
        <v>-84962</v>
      </c>
      <c r="H74" s="36">
        <v>-482</v>
      </c>
      <c r="I74" s="36">
        <f t="shared" si="1"/>
        <v>84480</v>
      </c>
      <c r="J74" s="37">
        <f t="shared" si="4"/>
        <v>84798.5</v>
      </c>
      <c r="K74" s="38">
        <f t="shared" si="5"/>
        <v>4.5483425356208432E-3</v>
      </c>
      <c r="L74" s="37">
        <f>'Social- och hälsovårdskostnader'!$K74*$L$14</f>
        <v>90018.047829475327</v>
      </c>
      <c r="M74" s="36">
        <v>-1681.5685600000002</v>
      </c>
      <c r="N74" s="239">
        <f t="shared" si="6"/>
        <v>88336479.269475326</v>
      </c>
      <c r="Q74" s="44"/>
      <c r="R74" s="44"/>
      <c r="S74" s="44"/>
      <c r="T74" s="44"/>
      <c r="U74" s="39"/>
      <c r="AE74" s="40"/>
      <c r="AF74" s="7"/>
      <c r="AG74" s="7"/>
      <c r="AH74" s="7"/>
      <c r="AI74" s="9"/>
      <c r="AJ74" s="9"/>
      <c r="AK74" s="9"/>
    </row>
    <row r="75" spans="1:37" x14ac:dyDescent="0.35">
      <c r="A75" s="34">
        <v>186</v>
      </c>
      <c r="B75" s="34" t="s">
        <v>117</v>
      </c>
      <c r="C75" s="35">
        <f>Bestämningsfaktor_kommunvis!C65</f>
        <v>35</v>
      </c>
      <c r="D75" s="36">
        <v>-137699</v>
      </c>
      <c r="E75" s="36">
        <v>-376</v>
      </c>
      <c r="F75" s="36">
        <f t="shared" si="3"/>
        <v>137323</v>
      </c>
      <c r="G75" s="36">
        <v>-144668</v>
      </c>
      <c r="H75" s="36">
        <v>-388</v>
      </c>
      <c r="I75" s="36">
        <f t="shared" si="1"/>
        <v>144280</v>
      </c>
      <c r="J75" s="37">
        <f t="shared" si="4"/>
        <v>140801.5</v>
      </c>
      <c r="K75" s="38">
        <f t="shared" si="5"/>
        <v>7.552179007048688E-3</v>
      </c>
      <c r="L75" s="37">
        <f>'Social- och hälsovårdskostnader'!$K75*$L$14</f>
        <v>149468.16466637817</v>
      </c>
      <c r="M75" s="36">
        <v>-2966.5572700000002</v>
      </c>
      <c r="N75" s="239">
        <f t="shared" si="6"/>
        <v>146501607.39637819</v>
      </c>
      <c r="Q75" s="44"/>
      <c r="R75" s="44"/>
      <c r="S75" s="44"/>
      <c r="T75" s="44"/>
      <c r="U75" s="39"/>
      <c r="AE75" s="40"/>
      <c r="AF75" s="7"/>
      <c r="AG75" s="7"/>
      <c r="AH75" s="7"/>
      <c r="AI75" s="9"/>
      <c r="AJ75" s="9"/>
      <c r="AK75" s="9"/>
    </row>
    <row r="76" spans="1:37" x14ac:dyDescent="0.35">
      <c r="A76" s="34">
        <v>202</v>
      </c>
      <c r="B76" s="34" t="s">
        <v>118</v>
      </c>
      <c r="C76" s="35">
        <f>Bestämningsfaktor_kommunvis!C66</f>
        <v>2</v>
      </c>
      <c r="D76" s="36">
        <v>-98794</v>
      </c>
      <c r="E76" s="36">
        <v>-149</v>
      </c>
      <c r="F76" s="36">
        <f t="shared" si="3"/>
        <v>98645</v>
      </c>
      <c r="G76" s="36">
        <v>-105151</v>
      </c>
      <c r="H76" s="36">
        <v>-153</v>
      </c>
      <c r="I76" s="36">
        <f t="shared" si="1"/>
        <v>104998</v>
      </c>
      <c r="J76" s="37">
        <f t="shared" si="4"/>
        <v>101821.5</v>
      </c>
      <c r="K76" s="38">
        <f t="shared" si="5"/>
        <v>5.4614062688693515E-3</v>
      </c>
      <c r="L76" s="37">
        <f>'Social- och hälsovårdskostnader'!$K76*$L$14</f>
        <v>108088.8536597808</v>
      </c>
      <c r="M76" s="36">
        <v>-1199.0711899999999</v>
      </c>
      <c r="N76" s="239">
        <f t="shared" si="6"/>
        <v>106889782.4697808</v>
      </c>
      <c r="Q76" s="44"/>
      <c r="R76" s="44"/>
      <c r="S76" s="44"/>
      <c r="T76" s="44"/>
      <c r="U76" s="39"/>
      <c r="AE76" s="40"/>
      <c r="AF76" s="7"/>
      <c r="AG76" s="7"/>
      <c r="AH76" s="7"/>
      <c r="AI76" s="9"/>
      <c r="AJ76" s="9"/>
      <c r="AK76" s="9"/>
    </row>
    <row r="77" spans="1:37" x14ac:dyDescent="0.35">
      <c r="A77" s="34">
        <v>204</v>
      </c>
      <c r="B77" s="34" t="s">
        <v>119</v>
      </c>
      <c r="C77" s="35">
        <f>Bestämningsfaktor_kommunvis!C67</f>
        <v>11</v>
      </c>
      <c r="D77" s="36">
        <v>-15963</v>
      </c>
      <c r="E77" s="36">
        <v>-106</v>
      </c>
      <c r="F77" s="36">
        <f t="shared" si="3"/>
        <v>15857</v>
      </c>
      <c r="G77" s="36">
        <v>-16252</v>
      </c>
      <c r="H77" s="36">
        <v>-117</v>
      </c>
      <c r="I77" s="36">
        <f t="shared" si="1"/>
        <v>16135</v>
      </c>
      <c r="J77" s="37">
        <f t="shared" si="4"/>
        <v>15996</v>
      </c>
      <c r="K77" s="38">
        <f t="shared" si="5"/>
        <v>8.5797846895630241E-4</v>
      </c>
      <c r="L77" s="37">
        <f>'Social- och hälsovårdskostnader'!$K77*$L$14</f>
        <v>16980.591556221952</v>
      </c>
      <c r="M77" s="36">
        <v>-197.53206</v>
      </c>
      <c r="N77" s="239">
        <f t="shared" si="6"/>
        <v>16783059.496221952</v>
      </c>
      <c r="Q77" s="44"/>
      <c r="R77" s="44"/>
      <c r="S77" s="44"/>
      <c r="T77" s="44"/>
      <c r="U77" s="39"/>
      <c r="AE77" s="40"/>
      <c r="AF77" s="7"/>
      <c r="AG77" s="7"/>
      <c r="AH77" s="7"/>
      <c r="AI77" s="9"/>
      <c r="AJ77" s="9"/>
      <c r="AK77" s="9"/>
    </row>
    <row r="78" spans="1:37" x14ac:dyDescent="0.35">
      <c r="A78" s="34">
        <v>205</v>
      </c>
      <c r="B78" s="34" t="s">
        <v>120</v>
      </c>
      <c r="C78" s="35">
        <f>Bestämningsfaktor_kommunvis!C68</f>
        <v>18</v>
      </c>
      <c r="D78" s="36">
        <v>-143201</v>
      </c>
      <c r="E78" s="36">
        <v>-963</v>
      </c>
      <c r="F78" s="36">
        <f t="shared" si="3"/>
        <v>142238</v>
      </c>
      <c r="G78" s="36">
        <v>-144400</v>
      </c>
      <c r="H78" s="36">
        <v>-957</v>
      </c>
      <c r="I78" s="36">
        <f t="shared" si="1"/>
        <v>143443</v>
      </c>
      <c r="J78" s="37">
        <f t="shared" ref="J78:J141" si="7">AVERAGE(F78,I78)</f>
        <v>142840.5</v>
      </c>
      <c r="K78" s="38">
        <f t="shared" si="5"/>
        <v>7.6615449796794645E-3</v>
      </c>
      <c r="L78" s="37">
        <f>'Social- och hälsovårdskostnader'!$K78*$L$14</f>
        <v>151632.6699291399</v>
      </c>
      <c r="M78" s="36">
        <v>-2878.5070699999997</v>
      </c>
      <c r="N78" s="239">
        <f t="shared" si="6"/>
        <v>148754162.85913992</v>
      </c>
      <c r="Q78" s="44"/>
      <c r="R78" s="44"/>
      <c r="S78" s="44"/>
      <c r="T78" s="44"/>
      <c r="U78" s="39"/>
      <c r="AE78" s="40"/>
      <c r="AF78" s="7"/>
      <c r="AG78" s="7"/>
      <c r="AH78" s="7"/>
      <c r="AI78" s="9"/>
      <c r="AJ78" s="9"/>
      <c r="AK78" s="9"/>
    </row>
    <row r="79" spans="1:37" x14ac:dyDescent="0.35">
      <c r="A79" s="34">
        <v>208</v>
      </c>
      <c r="B79" s="34" t="s">
        <v>121</v>
      </c>
      <c r="C79" s="35">
        <f>Bestämningsfaktor_kommunvis!C69</f>
        <v>17</v>
      </c>
      <c r="D79" s="36">
        <v>-37797</v>
      </c>
      <c r="E79" s="36">
        <v>-272</v>
      </c>
      <c r="F79" s="36">
        <f t="shared" ref="F79:F142" si="8">-(D79-E79)</f>
        <v>37525</v>
      </c>
      <c r="G79" s="36">
        <v>-40308</v>
      </c>
      <c r="H79" s="36">
        <v>-279</v>
      </c>
      <c r="I79" s="36">
        <f t="shared" ref="I79:I142" si="9">-(G79-H79)</f>
        <v>40029</v>
      </c>
      <c r="J79" s="37">
        <f t="shared" si="7"/>
        <v>38777</v>
      </c>
      <c r="K79" s="38">
        <f t="shared" si="5"/>
        <v>2.0798844142734768E-3</v>
      </c>
      <c r="L79" s="37">
        <f>'Social- och hälsovårdskostnader'!$K79*$L$14</f>
        <v>41163.81587744553</v>
      </c>
      <c r="M79" s="36">
        <v>-325.88736</v>
      </c>
      <c r="N79" s="239">
        <f t="shared" si="6"/>
        <v>40837928.517445527</v>
      </c>
      <c r="Q79" s="44"/>
      <c r="R79" s="44"/>
      <c r="S79" s="44"/>
      <c r="T79" s="44"/>
      <c r="U79" s="39"/>
      <c r="AE79" s="40"/>
      <c r="AF79" s="7"/>
      <c r="AG79" s="7"/>
      <c r="AH79" s="7"/>
      <c r="AI79" s="9"/>
      <c r="AJ79" s="9"/>
      <c r="AK79" s="9"/>
    </row>
    <row r="80" spans="1:37" x14ac:dyDescent="0.35">
      <c r="A80" s="34">
        <v>211</v>
      </c>
      <c r="B80" s="34" t="s">
        <v>122</v>
      </c>
      <c r="C80" s="35">
        <f>Bestämningsfaktor_kommunvis!C70</f>
        <v>6</v>
      </c>
      <c r="D80" s="36">
        <v>-89499</v>
      </c>
      <c r="E80" s="36">
        <v>-110</v>
      </c>
      <c r="F80" s="36">
        <f t="shared" si="8"/>
        <v>89389</v>
      </c>
      <c r="G80" s="36">
        <v>-90682</v>
      </c>
      <c r="H80" s="36">
        <v>-24</v>
      </c>
      <c r="I80" s="36">
        <f t="shared" si="9"/>
        <v>90658</v>
      </c>
      <c r="J80" s="37">
        <f t="shared" si="7"/>
        <v>90023.5</v>
      </c>
      <c r="K80" s="38">
        <f t="shared" ref="K80:K143" si="10">J80/$J$14</f>
        <v>4.8285961928036811E-3</v>
      </c>
      <c r="L80" s="37">
        <f>'Social- och hälsovårdskostnader'!$K80*$L$14</f>
        <v>95564.658912324769</v>
      </c>
      <c r="M80" s="36">
        <v>-1439.7531000000001</v>
      </c>
      <c r="N80" s="239">
        <f t="shared" ref="N80:N143" si="11">(L80+M80)*1000</f>
        <v>94124905.812324762</v>
      </c>
      <c r="Q80" s="44"/>
      <c r="R80" s="44"/>
      <c r="S80" s="44"/>
      <c r="T80" s="44"/>
      <c r="U80" s="39"/>
      <c r="AE80" s="40"/>
      <c r="AF80" s="7"/>
      <c r="AG80" s="7"/>
      <c r="AH80" s="7"/>
      <c r="AI80" s="9"/>
      <c r="AJ80" s="9"/>
      <c r="AK80" s="9"/>
    </row>
    <row r="81" spans="1:37" x14ac:dyDescent="0.35">
      <c r="A81" s="34">
        <v>213</v>
      </c>
      <c r="B81" s="34" t="s">
        <v>123</v>
      </c>
      <c r="C81" s="35">
        <f>Bestämningsfaktor_kommunvis!C71</f>
        <v>10</v>
      </c>
      <c r="D81" s="36">
        <v>-24273</v>
      </c>
      <c r="E81" s="36">
        <v>-205</v>
      </c>
      <c r="F81" s="36">
        <f t="shared" si="8"/>
        <v>24068</v>
      </c>
      <c r="G81" s="36">
        <v>-24787</v>
      </c>
      <c r="H81" s="36">
        <v>-197</v>
      </c>
      <c r="I81" s="36">
        <f t="shared" si="9"/>
        <v>24590</v>
      </c>
      <c r="J81" s="37">
        <f t="shared" si="7"/>
        <v>24329</v>
      </c>
      <c r="K81" s="38">
        <f t="shared" si="10"/>
        <v>1.3049361197323007E-3</v>
      </c>
      <c r="L81" s="37">
        <f>'Social- och hälsovårdskostnader'!$K81*$L$14</f>
        <v>25826.507375051508</v>
      </c>
      <c r="M81" s="36">
        <v>-283.95251999999999</v>
      </c>
      <c r="N81" s="239">
        <f t="shared" si="11"/>
        <v>25542554.85505151</v>
      </c>
      <c r="Q81" s="44"/>
      <c r="R81" s="44"/>
      <c r="S81" s="44"/>
      <c r="T81" s="44"/>
      <c r="U81" s="39"/>
      <c r="AE81" s="40"/>
      <c r="AF81" s="7"/>
      <c r="AG81" s="7"/>
      <c r="AH81" s="7"/>
      <c r="AI81" s="9"/>
      <c r="AJ81" s="9"/>
      <c r="AK81" s="9"/>
    </row>
    <row r="82" spans="1:37" x14ac:dyDescent="0.35">
      <c r="A82" s="34">
        <v>214</v>
      </c>
      <c r="B82" s="34" t="s">
        <v>124</v>
      </c>
      <c r="C82" s="35">
        <f>Bestämningsfaktor_kommunvis!C72</f>
        <v>4</v>
      </c>
      <c r="D82" s="36">
        <v>-41410</v>
      </c>
      <c r="E82" s="36">
        <v>-212</v>
      </c>
      <c r="F82" s="36">
        <f t="shared" si="8"/>
        <v>41198</v>
      </c>
      <c r="G82" s="36">
        <v>-41989</v>
      </c>
      <c r="H82" s="36">
        <v>-239</v>
      </c>
      <c r="I82" s="36">
        <f t="shared" si="9"/>
        <v>41750</v>
      </c>
      <c r="J82" s="37">
        <f t="shared" si="7"/>
        <v>41474</v>
      </c>
      <c r="K82" s="38">
        <f t="shared" si="10"/>
        <v>2.2245435747370395E-3</v>
      </c>
      <c r="L82" s="37">
        <f>'Social- och hälsovårdskostnader'!$K82*$L$14</f>
        <v>44026.822593320161</v>
      </c>
      <c r="M82" s="36">
        <v>-392.29336000000001</v>
      </c>
      <c r="N82" s="239">
        <f t="shared" si="11"/>
        <v>43634529.233320154</v>
      </c>
      <c r="Q82" s="44"/>
      <c r="R82" s="44"/>
      <c r="S82" s="44"/>
      <c r="T82" s="44"/>
      <c r="U82" s="39"/>
      <c r="AE82" s="40"/>
      <c r="AF82" s="7"/>
      <c r="AG82" s="7"/>
      <c r="AH82" s="7"/>
      <c r="AI82" s="9"/>
      <c r="AJ82" s="9"/>
      <c r="AK82" s="9"/>
    </row>
    <row r="83" spans="1:37" x14ac:dyDescent="0.35">
      <c r="A83" s="34">
        <v>216</v>
      </c>
      <c r="B83" s="34" t="s">
        <v>125</v>
      </c>
      <c r="C83" s="35">
        <f>Bestämningsfaktor_kommunvis!C73</f>
        <v>13</v>
      </c>
      <c r="D83" s="36">
        <v>-6451</v>
      </c>
      <c r="E83" s="36">
        <v>-51</v>
      </c>
      <c r="F83" s="36">
        <f t="shared" si="8"/>
        <v>6400</v>
      </c>
      <c r="G83" s="36">
        <v>-6798</v>
      </c>
      <c r="H83" s="36">
        <v>-50</v>
      </c>
      <c r="I83" s="36">
        <f t="shared" si="9"/>
        <v>6748</v>
      </c>
      <c r="J83" s="37">
        <f t="shared" si="7"/>
        <v>6574</v>
      </c>
      <c r="K83" s="38">
        <f t="shared" si="10"/>
        <v>3.5261005594640734E-4</v>
      </c>
      <c r="L83" s="37">
        <f>'Social- och hälsovårdskostnader'!$K83*$L$14</f>
        <v>6978.6452169669365</v>
      </c>
      <c r="M83" s="36">
        <v>-68.709620000000001</v>
      </c>
      <c r="N83" s="239">
        <f t="shared" si="11"/>
        <v>6909935.5969669372</v>
      </c>
      <c r="Q83" s="44"/>
      <c r="R83" s="44"/>
      <c r="S83" s="44"/>
      <c r="T83" s="44"/>
      <c r="U83" s="39"/>
      <c r="AE83" s="40"/>
      <c r="AF83" s="7"/>
      <c r="AG83" s="7"/>
      <c r="AH83" s="7"/>
      <c r="AI83" s="9"/>
      <c r="AJ83" s="9"/>
      <c r="AK83" s="9"/>
    </row>
    <row r="84" spans="1:37" x14ac:dyDescent="0.35">
      <c r="A84" s="34">
        <v>217</v>
      </c>
      <c r="B84" s="34" t="s">
        <v>126</v>
      </c>
      <c r="C84" s="35">
        <f>Bestämningsfaktor_kommunvis!C74</f>
        <v>16</v>
      </c>
      <c r="D84" s="36">
        <v>-19397</v>
      </c>
      <c r="E84" s="36">
        <v>-201</v>
      </c>
      <c r="F84" s="36">
        <f t="shared" si="8"/>
        <v>19196</v>
      </c>
      <c r="G84" s="36">
        <v>-19382</v>
      </c>
      <c r="H84" s="36">
        <v>-153</v>
      </c>
      <c r="I84" s="36">
        <f t="shared" si="9"/>
        <v>19229</v>
      </c>
      <c r="J84" s="37">
        <f t="shared" si="7"/>
        <v>19212.5</v>
      </c>
      <c r="K84" s="38">
        <f t="shared" si="10"/>
        <v>1.0305020839474219E-3</v>
      </c>
      <c r="L84" s="37">
        <f>'Social- och hälsovårdskostnader'!$K84*$L$14</f>
        <v>20395.074723300469</v>
      </c>
      <c r="M84" s="36">
        <v>-159.94324</v>
      </c>
      <c r="N84" s="239">
        <f t="shared" si="11"/>
        <v>20235131.48330047</v>
      </c>
      <c r="Q84" s="44"/>
      <c r="R84" s="44"/>
      <c r="S84" s="44"/>
      <c r="T84" s="44"/>
      <c r="U84" s="39"/>
      <c r="AE84" s="40"/>
      <c r="AF84" s="7"/>
      <c r="AG84" s="7"/>
      <c r="AH84" s="7"/>
      <c r="AI84" s="9"/>
      <c r="AJ84" s="9"/>
      <c r="AK84" s="9"/>
    </row>
    <row r="85" spans="1:37" x14ac:dyDescent="0.35">
      <c r="A85" s="34">
        <v>218</v>
      </c>
      <c r="B85" s="34" t="s">
        <v>127</v>
      </c>
      <c r="C85" s="35">
        <f>Bestämningsfaktor_kommunvis!C75</f>
        <v>14</v>
      </c>
      <c r="D85" s="36">
        <v>-6208</v>
      </c>
      <c r="E85" s="36">
        <v>-45</v>
      </c>
      <c r="F85" s="36">
        <f t="shared" si="8"/>
        <v>6163</v>
      </c>
      <c r="G85" s="36">
        <v>-6503</v>
      </c>
      <c r="H85" s="36">
        <v>-41</v>
      </c>
      <c r="I85" s="36">
        <f t="shared" si="9"/>
        <v>6462</v>
      </c>
      <c r="J85" s="37">
        <f t="shared" si="7"/>
        <v>6312.5</v>
      </c>
      <c r="K85" s="38">
        <f t="shared" si="10"/>
        <v>3.385839638213715E-4</v>
      </c>
      <c r="L85" s="37">
        <f>'Social- och hälsovårdskostnader'!$K85*$L$14</f>
        <v>6701.049274734376</v>
      </c>
      <c r="M85" s="36">
        <v>-27.48911</v>
      </c>
      <c r="N85" s="239">
        <f t="shared" si="11"/>
        <v>6673560.1647343757</v>
      </c>
      <c r="Q85" s="44"/>
      <c r="R85" s="44"/>
      <c r="S85" s="44"/>
      <c r="T85" s="44"/>
      <c r="U85" s="39"/>
      <c r="AE85" s="40"/>
      <c r="AF85" s="7"/>
      <c r="AG85" s="7"/>
      <c r="AH85" s="7"/>
      <c r="AI85" s="9"/>
      <c r="AJ85" s="9"/>
      <c r="AK85" s="9"/>
    </row>
    <row r="86" spans="1:37" x14ac:dyDescent="0.35">
      <c r="A86" s="34">
        <v>224</v>
      </c>
      <c r="B86" s="34" t="s">
        <v>128</v>
      </c>
      <c r="C86" s="35">
        <f>Bestämningsfaktor_kommunvis!C76</f>
        <v>33</v>
      </c>
      <c r="D86" s="36">
        <v>-30814</v>
      </c>
      <c r="E86" s="36">
        <v>-150</v>
      </c>
      <c r="F86" s="36">
        <f t="shared" si="8"/>
        <v>30664</v>
      </c>
      <c r="G86" s="36">
        <v>-32636</v>
      </c>
      <c r="H86" s="36">
        <v>-112</v>
      </c>
      <c r="I86" s="36">
        <f t="shared" si="9"/>
        <v>32524</v>
      </c>
      <c r="J86" s="37">
        <f t="shared" si="7"/>
        <v>31594</v>
      </c>
      <c r="K86" s="38">
        <f t="shared" si="10"/>
        <v>1.6946093866094911E-3</v>
      </c>
      <c r="L86" s="37">
        <f>'Social- och hälsovårdskostnader'!$K86*$L$14</f>
        <v>33538.685273023031</v>
      </c>
      <c r="M86" s="36">
        <v>-369.40621000000004</v>
      </c>
      <c r="N86" s="239">
        <f t="shared" si="11"/>
        <v>33169279.063023031</v>
      </c>
      <c r="Q86" s="44"/>
      <c r="R86" s="44"/>
      <c r="S86" s="44"/>
      <c r="T86" s="44"/>
      <c r="U86" s="39"/>
      <c r="AE86" s="40"/>
      <c r="AF86" s="7"/>
      <c r="AG86" s="7"/>
      <c r="AH86" s="7"/>
      <c r="AI86" s="9"/>
      <c r="AJ86" s="9"/>
      <c r="AK86" s="9"/>
    </row>
    <row r="87" spans="1:37" x14ac:dyDescent="0.35">
      <c r="A87" s="34">
        <v>226</v>
      </c>
      <c r="B87" s="34" t="s">
        <v>129</v>
      </c>
      <c r="C87" s="35">
        <f>Bestämningsfaktor_kommunvis!C77</f>
        <v>13</v>
      </c>
      <c r="D87" s="36">
        <v>-16518</v>
      </c>
      <c r="E87" s="36">
        <v>-141</v>
      </c>
      <c r="F87" s="36">
        <f t="shared" si="8"/>
        <v>16377</v>
      </c>
      <c r="G87" s="36">
        <v>-17447</v>
      </c>
      <c r="H87" s="36">
        <v>-140</v>
      </c>
      <c r="I87" s="36">
        <f t="shared" si="9"/>
        <v>17307</v>
      </c>
      <c r="J87" s="37">
        <f t="shared" si="7"/>
        <v>16842</v>
      </c>
      <c r="K87" s="38">
        <f t="shared" si="10"/>
        <v>9.0335542474131308E-4</v>
      </c>
      <c r="L87" s="37">
        <f>'Social- och hälsovårdskostnader'!$K87*$L$14</f>
        <v>17878.664853081402</v>
      </c>
      <c r="M87" s="36">
        <v>-145.16777999999999</v>
      </c>
      <c r="N87" s="239">
        <f t="shared" si="11"/>
        <v>17733497.0730814</v>
      </c>
      <c r="Q87" s="44"/>
      <c r="R87" s="44"/>
      <c r="S87" s="44"/>
      <c r="T87" s="44"/>
      <c r="U87" s="39"/>
      <c r="AE87" s="40"/>
      <c r="AF87" s="7"/>
      <c r="AG87" s="7"/>
      <c r="AH87" s="7"/>
      <c r="AI87" s="9"/>
      <c r="AJ87" s="9"/>
      <c r="AK87" s="9"/>
    </row>
    <row r="88" spans="1:37" x14ac:dyDescent="0.35">
      <c r="A88" s="34">
        <v>230</v>
      </c>
      <c r="B88" s="34" t="s">
        <v>130</v>
      </c>
      <c r="C88" s="35">
        <f>Bestämningsfaktor_kommunvis!C78</f>
        <v>4</v>
      </c>
      <c r="D88" s="36">
        <v>-9722</v>
      </c>
      <c r="E88" s="36">
        <v>-85</v>
      </c>
      <c r="F88" s="36">
        <f t="shared" si="8"/>
        <v>9637</v>
      </c>
      <c r="G88" s="36">
        <v>-9962</v>
      </c>
      <c r="H88" s="36">
        <v>-95</v>
      </c>
      <c r="I88" s="36">
        <f t="shared" si="9"/>
        <v>9867</v>
      </c>
      <c r="J88" s="37">
        <f t="shared" si="7"/>
        <v>9752</v>
      </c>
      <c r="K88" s="38">
        <f t="shared" si="10"/>
        <v>5.2306864398986373E-4</v>
      </c>
      <c r="L88" s="37">
        <f>'Social- och hälsovårdskostnader'!$K88*$L$14</f>
        <v>10352.258618171823</v>
      </c>
      <c r="M88" s="36">
        <v>-44.634</v>
      </c>
      <c r="N88" s="239">
        <f t="shared" si="11"/>
        <v>10307624.618171824</v>
      </c>
      <c r="Q88" s="44"/>
      <c r="R88" s="44"/>
      <c r="S88" s="44"/>
      <c r="T88" s="44"/>
      <c r="U88" s="39"/>
      <c r="AE88" s="40"/>
      <c r="AF88" s="7"/>
      <c r="AG88" s="7"/>
      <c r="AH88" s="7"/>
      <c r="AI88" s="9"/>
      <c r="AJ88" s="9"/>
      <c r="AK88" s="9"/>
    </row>
    <row r="89" spans="1:37" x14ac:dyDescent="0.35">
      <c r="A89" s="34">
        <v>231</v>
      </c>
      <c r="B89" s="34" t="s">
        <v>131</v>
      </c>
      <c r="C89" s="35">
        <f>Bestämningsfaktor_kommunvis!C79</f>
        <v>15</v>
      </c>
      <c r="D89" s="36">
        <v>-6522</v>
      </c>
      <c r="E89" s="36">
        <v>-32</v>
      </c>
      <c r="F89" s="36">
        <f t="shared" si="8"/>
        <v>6490</v>
      </c>
      <c r="G89" s="36">
        <v>-6215</v>
      </c>
      <c r="H89" s="36">
        <v>-31</v>
      </c>
      <c r="I89" s="36">
        <f t="shared" si="9"/>
        <v>6184</v>
      </c>
      <c r="J89" s="37">
        <f t="shared" si="7"/>
        <v>6337</v>
      </c>
      <c r="K89" s="38">
        <f t="shared" si="10"/>
        <v>3.3989807187897526E-4</v>
      </c>
      <c r="L89" s="37">
        <f>'Social- och hälsovårdskostnader'!$K89*$L$14</f>
        <v>6727.0573075630482</v>
      </c>
      <c r="M89" s="36">
        <v>-20.926349999999999</v>
      </c>
      <c r="N89" s="239">
        <f t="shared" si="11"/>
        <v>6706130.9575630482</v>
      </c>
      <c r="Q89" s="44"/>
      <c r="R89" s="44"/>
      <c r="S89" s="44"/>
      <c r="T89" s="44"/>
      <c r="U89" s="39"/>
      <c r="AE89" s="40"/>
      <c r="AF89" s="7"/>
      <c r="AG89" s="7"/>
      <c r="AH89" s="7"/>
      <c r="AI89" s="9"/>
      <c r="AJ89" s="9"/>
      <c r="AK89" s="9"/>
    </row>
    <row r="90" spans="1:37" x14ac:dyDescent="0.35">
      <c r="A90" s="34">
        <v>232</v>
      </c>
      <c r="B90" s="34" t="s">
        <v>132</v>
      </c>
      <c r="C90" s="35">
        <f>Bestämningsfaktor_kommunvis!C80</f>
        <v>14</v>
      </c>
      <c r="D90" s="36">
        <v>-54066</v>
      </c>
      <c r="E90" s="36">
        <v>-480</v>
      </c>
      <c r="F90" s="36">
        <f t="shared" si="8"/>
        <v>53586</v>
      </c>
      <c r="G90" s="36">
        <v>-55367</v>
      </c>
      <c r="H90" s="36">
        <v>-453</v>
      </c>
      <c r="I90" s="36">
        <f t="shared" si="9"/>
        <v>54914</v>
      </c>
      <c r="J90" s="37">
        <f t="shared" si="7"/>
        <v>54250</v>
      </c>
      <c r="K90" s="38">
        <f t="shared" si="10"/>
        <v>2.9098106989797075E-3</v>
      </c>
      <c r="L90" s="37">
        <f>'Social- och hälsovårdskostnader'!$K90*$L$14</f>
        <v>57589.215549202359</v>
      </c>
      <c r="M90" s="36">
        <v>-403.20825000000002</v>
      </c>
      <c r="N90" s="239">
        <f t="shared" si="11"/>
        <v>57186007.299202353</v>
      </c>
      <c r="Q90" s="44"/>
      <c r="R90" s="44"/>
      <c r="S90" s="44"/>
      <c r="T90" s="44"/>
      <c r="U90" s="39"/>
      <c r="AE90" s="40"/>
      <c r="AF90" s="7"/>
      <c r="AG90" s="7"/>
      <c r="AH90" s="7"/>
      <c r="AI90" s="9"/>
      <c r="AJ90" s="9"/>
      <c r="AK90" s="9"/>
    </row>
    <row r="91" spans="1:37" x14ac:dyDescent="0.35">
      <c r="A91" s="34">
        <v>233</v>
      </c>
      <c r="B91" s="34" t="s">
        <v>133</v>
      </c>
      <c r="C91" s="35">
        <f>Bestämningsfaktor_kommunvis!C81</f>
        <v>14</v>
      </c>
      <c r="D91" s="36">
        <v>-65054</v>
      </c>
      <c r="E91" s="36">
        <v>-366</v>
      </c>
      <c r="F91" s="36">
        <f t="shared" si="8"/>
        <v>64688</v>
      </c>
      <c r="G91" s="36">
        <v>-67422</v>
      </c>
      <c r="H91" s="36">
        <v>-369</v>
      </c>
      <c r="I91" s="36">
        <f t="shared" si="9"/>
        <v>67053</v>
      </c>
      <c r="J91" s="37">
        <f t="shared" si="7"/>
        <v>65870.5</v>
      </c>
      <c r="K91" s="38">
        <f t="shared" si="10"/>
        <v>3.5331001962606973E-3</v>
      </c>
      <c r="L91" s="37">
        <f>'Social- och hälsovårdskostnader'!$K91*$L$14</f>
        <v>69924.984752695556</v>
      </c>
      <c r="M91" s="36">
        <v>-491.71503000000001</v>
      </c>
      <c r="N91" s="239">
        <f t="shared" si="11"/>
        <v>69433269.722695544</v>
      </c>
      <c r="Q91" s="44"/>
      <c r="R91" s="44"/>
      <c r="S91" s="44"/>
      <c r="T91" s="44"/>
      <c r="U91" s="39"/>
      <c r="AE91" s="40"/>
      <c r="AF91" s="7"/>
      <c r="AG91" s="7"/>
      <c r="AH91" s="7"/>
      <c r="AI91" s="9"/>
      <c r="AJ91" s="9"/>
      <c r="AK91" s="9"/>
    </row>
    <row r="92" spans="1:37" x14ac:dyDescent="0.35">
      <c r="A92" s="34">
        <v>235</v>
      </c>
      <c r="B92" s="34" t="s">
        <v>134</v>
      </c>
      <c r="C92" s="35">
        <f>Bestämningsfaktor_kommunvis!C82</f>
        <v>33</v>
      </c>
      <c r="D92" s="36">
        <v>-28024</v>
      </c>
      <c r="E92" s="36">
        <v>-44</v>
      </c>
      <c r="F92" s="36">
        <f t="shared" si="8"/>
        <v>27980</v>
      </c>
      <c r="G92" s="36">
        <v>-30758</v>
      </c>
      <c r="H92" s="36">
        <v>-50</v>
      </c>
      <c r="I92" s="36">
        <f t="shared" si="9"/>
        <v>30708</v>
      </c>
      <c r="J92" s="37">
        <f t="shared" si="7"/>
        <v>29344</v>
      </c>
      <c r="K92" s="38">
        <f t="shared" si="10"/>
        <v>1.5739259935642496E-3</v>
      </c>
      <c r="L92" s="37">
        <f>'Social- och hälsovårdskostnader'!$K92*$L$14</f>
        <v>31150.19246222662</v>
      </c>
      <c r="M92" s="36">
        <v>-367.01403000000005</v>
      </c>
      <c r="N92" s="239">
        <f t="shared" si="11"/>
        <v>30783178.432226621</v>
      </c>
      <c r="Q92" s="44"/>
      <c r="R92" s="44"/>
      <c r="S92" s="44"/>
      <c r="T92" s="44"/>
      <c r="U92" s="39"/>
      <c r="AE92" s="40"/>
      <c r="AF92" s="7"/>
      <c r="AG92" s="7"/>
      <c r="AH92" s="7"/>
      <c r="AI92" s="9"/>
      <c r="AJ92" s="9"/>
      <c r="AK92" s="9"/>
    </row>
    <row r="93" spans="1:37" x14ac:dyDescent="0.35">
      <c r="A93" s="34">
        <v>236</v>
      </c>
      <c r="B93" s="34" t="s">
        <v>135</v>
      </c>
      <c r="C93" s="35">
        <f>Bestämningsfaktor_kommunvis!C83</f>
        <v>16</v>
      </c>
      <c r="D93" s="36">
        <v>-15001</v>
      </c>
      <c r="E93" s="36">
        <v>-135</v>
      </c>
      <c r="F93" s="36">
        <f t="shared" si="8"/>
        <v>14866</v>
      </c>
      <c r="G93" s="36">
        <v>-15463</v>
      </c>
      <c r="H93" s="36">
        <v>-149</v>
      </c>
      <c r="I93" s="36">
        <f t="shared" si="9"/>
        <v>15314</v>
      </c>
      <c r="J93" s="37">
        <f t="shared" si="7"/>
        <v>15090</v>
      </c>
      <c r="K93" s="38">
        <f t="shared" si="10"/>
        <v>8.0938328935675188E-4</v>
      </c>
      <c r="L93" s="37">
        <f>'Social- och hälsovårdskostnader'!$K93*$L$14</f>
        <v>16018.825117741266</v>
      </c>
      <c r="M93" s="36">
        <v>-111.89755000000001</v>
      </c>
      <c r="N93" s="239">
        <f t="shared" si="11"/>
        <v>15906927.567741266</v>
      </c>
      <c r="Q93" s="44"/>
      <c r="R93" s="44"/>
      <c r="S93" s="44"/>
      <c r="T93" s="44"/>
      <c r="U93" s="39"/>
      <c r="AE93" s="40"/>
      <c r="AF93" s="7"/>
      <c r="AG93" s="7"/>
      <c r="AH93" s="7"/>
      <c r="AI93" s="9"/>
      <c r="AJ93" s="9"/>
      <c r="AK93" s="9"/>
    </row>
    <row r="94" spans="1:37" x14ac:dyDescent="0.35">
      <c r="A94" s="34">
        <v>239</v>
      </c>
      <c r="B94" s="34" t="s">
        <v>136</v>
      </c>
      <c r="C94" s="35">
        <f>Bestämningsfaktor_kommunvis!C84</f>
        <v>11</v>
      </c>
      <c r="D94" s="36">
        <v>-10144</v>
      </c>
      <c r="E94" s="36">
        <v>-131</v>
      </c>
      <c r="F94" s="36">
        <f t="shared" si="8"/>
        <v>10013</v>
      </c>
      <c r="G94" s="36">
        <v>-9377</v>
      </c>
      <c r="H94" s="36">
        <v>-128</v>
      </c>
      <c r="I94" s="36">
        <f t="shared" si="9"/>
        <v>9249</v>
      </c>
      <c r="J94" s="37">
        <f t="shared" si="7"/>
        <v>9631</v>
      </c>
      <c r="K94" s="38">
        <f t="shared" si="10"/>
        <v>5.1657855929720855E-4</v>
      </c>
      <c r="L94" s="37">
        <f>'Social- och hälsovårdskostnader'!$K94*$L$14</f>
        <v>10223.810782568993</v>
      </c>
      <c r="M94" s="36">
        <v>-130.89048</v>
      </c>
      <c r="N94" s="239">
        <f t="shared" si="11"/>
        <v>10092920.302568993</v>
      </c>
      <c r="Q94" s="44"/>
      <c r="R94" s="44"/>
      <c r="S94" s="44"/>
      <c r="T94" s="44"/>
      <c r="U94" s="39"/>
      <c r="AE94" s="40"/>
      <c r="AF94" s="7"/>
      <c r="AG94" s="7"/>
      <c r="AH94" s="7"/>
      <c r="AI94" s="9"/>
      <c r="AJ94" s="9"/>
      <c r="AK94" s="9"/>
    </row>
    <row r="95" spans="1:37" x14ac:dyDescent="0.35">
      <c r="A95" s="34">
        <v>240</v>
      </c>
      <c r="B95" s="34" t="s">
        <v>137</v>
      </c>
      <c r="C95" s="35">
        <f>Bestämningsfaktor_kommunvis!C85</f>
        <v>19</v>
      </c>
      <c r="D95" s="36">
        <v>-90729</v>
      </c>
      <c r="E95" s="36">
        <v>-177</v>
      </c>
      <c r="F95" s="36">
        <f t="shared" si="8"/>
        <v>90552</v>
      </c>
      <c r="G95" s="36">
        <v>-94003</v>
      </c>
      <c r="H95" s="36">
        <v>-205</v>
      </c>
      <c r="I95" s="36">
        <f t="shared" si="9"/>
        <v>93798</v>
      </c>
      <c r="J95" s="37">
        <f t="shared" si="7"/>
        <v>92175</v>
      </c>
      <c r="K95" s="38">
        <f t="shared" si="10"/>
        <v>4.9439963350867196E-3</v>
      </c>
      <c r="L95" s="37">
        <f>'Social- och hälsovårdskostnader'!$K95*$L$14</f>
        <v>97848.58881562631</v>
      </c>
      <c r="M95" s="36">
        <v>-1819.8345300000001</v>
      </c>
      <c r="N95" s="239">
        <f t="shared" si="11"/>
        <v>96028754.285626322</v>
      </c>
      <c r="Q95" s="44"/>
      <c r="R95" s="44"/>
      <c r="S95" s="44"/>
      <c r="T95" s="44"/>
      <c r="U95" s="39"/>
      <c r="AE95" s="40"/>
      <c r="AF95" s="7"/>
      <c r="AG95" s="7"/>
      <c r="AH95" s="7"/>
      <c r="AI95" s="9"/>
      <c r="AJ95" s="9"/>
      <c r="AK95" s="9"/>
    </row>
    <row r="96" spans="1:37" x14ac:dyDescent="0.35">
      <c r="A96" s="34">
        <v>241</v>
      </c>
      <c r="B96" s="34" t="s">
        <v>138</v>
      </c>
      <c r="C96" s="35">
        <f>Bestämningsfaktor_kommunvis!C86</f>
        <v>19</v>
      </c>
      <c r="D96" s="36">
        <v>-30686</v>
      </c>
      <c r="E96" s="36">
        <v>-129</v>
      </c>
      <c r="F96" s="36">
        <f t="shared" si="8"/>
        <v>30557</v>
      </c>
      <c r="G96" s="36">
        <v>-31293</v>
      </c>
      <c r="H96" s="36">
        <v>-140</v>
      </c>
      <c r="I96" s="36">
        <f t="shared" si="9"/>
        <v>31153</v>
      </c>
      <c r="J96" s="37">
        <f t="shared" si="7"/>
        <v>30855</v>
      </c>
      <c r="K96" s="38">
        <f t="shared" si="10"/>
        <v>1.6549715966270762E-3</v>
      </c>
      <c r="L96" s="37">
        <f>'Social- och hälsovårdskostnader'!$K96*$L$14</f>
        <v>32754.198078721452</v>
      </c>
      <c r="M96" s="36">
        <v>-275.91025000000002</v>
      </c>
      <c r="N96" s="239">
        <f t="shared" si="11"/>
        <v>32478287.828721453</v>
      </c>
      <c r="Q96" s="44"/>
      <c r="R96" s="44"/>
      <c r="S96" s="44"/>
      <c r="T96" s="44"/>
      <c r="U96" s="39"/>
      <c r="AE96" s="40"/>
      <c r="AF96" s="7"/>
      <c r="AG96" s="7"/>
      <c r="AH96" s="7"/>
      <c r="AI96" s="9"/>
      <c r="AJ96" s="9"/>
      <c r="AK96" s="9"/>
    </row>
    <row r="97" spans="1:37" x14ac:dyDescent="0.35">
      <c r="A97" s="34">
        <v>244</v>
      </c>
      <c r="B97" s="34" t="s">
        <v>139</v>
      </c>
      <c r="C97" s="35">
        <f>Bestämningsfaktor_kommunvis!C87</f>
        <v>17</v>
      </c>
      <c r="D97" s="36">
        <v>-46268</v>
      </c>
      <c r="E97" s="36">
        <v>-49</v>
      </c>
      <c r="F97" s="36">
        <f t="shared" si="8"/>
        <v>46219</v>
      </c>
      <c r="G97" s="36">
        <v>-50860</v>
      </c>
      <c r="H97" s="36">
        <v>-47</v>
      </c>
      <c r="I97" s="36">
        <f t="shared" si="9"/>
        <v>50813</v>
      </c>
      <c r="J97" s="37">
        <f t="shared" si="7"/>
        <v>48516</v>
      </c>
      <c r="K97" s="38">
        <f t="shared" si="10"/>
        <v>2.602255776436857E-3</v>
      </c>
      <c r="L97" s="37">
        <f>'Social- och hälsovårdskostnader'!$K97*$L$14</f>
        <v>51502.274314932751</v>
      </c>
      <c r="M97" s="36">
        <v>-491.37564000000003</v>
      </c>
      <c r="N97" s="239">
        <f t="shared" si="11"/>
        <v>51010898.674932756</v>
      </c>
      <c r="Q97" s="44"/>
      <c r="R97" s="44"/>
      <c r="S97" s="44"/>
      <c r="T97" s="44"/>
      <c r="U97" s="39"/>
      <c r="AE97" s="40"/>
      <c r="AF97" s="7"/>
      <c r="AG97" s="7"/>
      <c r="AH97" s="7"/>
      <c r="AI97" s="9"/>
      <c r="AJ97" s="9"/>
      <c r="AK97" s="9"/>
    </row>
    <row r="98" spans="1:37" x14ac:dyDescent="0.35">
      <c r="A98" s="34">
        <v>245</v>
      </c>
      <c r="B98" s="34" t="s">
        <v>140</v>
      </c>
      <c r="C98" s="35">
        <f>Bestämningsfaktor_kommunvis!C88</f>
        <v>32</v>
      </c>
      <c r="D98" s="36">
        <v>-99181</v>
      </c>
      <c r="E98" s="36">
        <v>-455</v>
      </c>
      <c r="F98" s="36">
        <f t="shared" si="8"/>
        <v>98726</v>
      </c>
      <c r="G98" s="36">
        <v>-108462</v>
      </c>
      <c r="H98" s="36">
        <v>-561</v>
      </c>
      <c r="I98" s="36">
        <f t="shared" si="9"/>
        <v>107901</v>
      </c>
      <c r="J98" s="37">
        <f t="shared" si="7"/>
        <v>103313.5</v>
      </c>
      <c r="K98" s="38">
        <f t="shared" si="10"/>
        <v>5.5414327677242399E-3</v>
      </c>
      <c r="L98" s="37">
        <f>'Social- och hälsovårdskostnader'!$K98*$L$14</f>
        <v>109672.6897814289</v>
      </c>
      <c r="M98" s="36">
        <v>-2443.5345899999998</v>
      </c>
      <c r="N98" s="239">
        <f t="shared" si="11"/>
        <v>107229155.1914289</v>
      </c>
      <c r="Q98" s="44"/>
      <c r="R98" s="44"/>
      <c r="S98" s="44"/>
      <c r="T98" s="44"/>
      <c r="U98" s="39"/>
      <c r="AE98" s="40"/>
      <c r="AF98" s="7"/>
      <c r="AG98" s="7"/>
      <c r="AH98" s="7"/>
      <c r="AI98" s="9"/>
      <c r="AJ98" s="9"/>
      <c r="AK98" s="9"/>
    </row>
    <row r="99" spans="1:37" x14ac:dyDescent="0.35">
      <c r="A99" s="34">
        <v>249</v>
      </c>
      <c r="B99" s="34" t="s">
        <v>141</v>
      </c>
      <c r="C99" s="35">
        <f>Bestämningsfaktor_kommunvis!C89</f>
        <v>13</v>
      </c>
      <c r="D99" s="36">
        <v>-37403</v>
      </c>
      <c r="E99" s="36">
        <v>-218</v>
      </c>
      <c r="F99" s="36">
        <f t="shared" si="8"/>
        <v>37185</v>
      </c>
      <c r="G99" s="36">
        <v>-38082</v>
      </c>
      <c r="H99" s="36">
        <v>-234</v>
      </c>
      <c r="I99" s="36">
        <f t="shared" si="9"/>
        <v>37848</v>
      </c>
      <c r="J99" s="37">
        <f t="shared" si="7"/>
        <v>37516.5</v>
      </c>
      <c r="K99" s="38">
        <f t="shared" si="10"/>
        <v>2.0122748956363538E-3</v>
      </c>
      <c r="L99" s="37">
        <f>'Social- och hälsovårdskostnader'!$K99*$L$14</f>
        <v>39825.729127219362</v>
      </c>
      <c r="M99" s="36">
        <v>-330.12054999999998</v>
      </c>
      <c r="N99" s="239">
        <f t="shared" si="11"/>
        <v>39495608.57721936</v>
      </c>
      <c r="Q99" s="44"/>
      <c r="R99" s="44"/>
      <c r="S99" s="44"/>
      <c r="T99" s="44"/>
      <c r="U99" s="39"/>
      <c r="AE99" s="40"/>
      <c r="AF99" s="7"/>
      <c r="AG99" s="7"/>
      <c r="AH99" s="7"/>
      <c r="AI99" s="9"/>
      <c r="AJ99" s="9"/>
      <c r="AK99" s="9"/>
    </row>
    <row r="100" spans="1:37" x14ac:dyDescent="0.35">
      <c r="A100" s="231">
        <v>250</v>
      </c>
      <c r="B100" s="34" t="s">
        <v>142</v>
      </c>
      <c r="C100" s="35">
        <f>Bestämningsfaktor_kommunvis!C90</f>
        <v>6</v>
      </c>
      <c r="D100" s="36">
        <v>-8330</v>
      </c>
      <c r="E100" s="36">
        <v>-152</v>
      </c>
      <c r="F100" s="36">
        <f t="shared" si="8"/>
        <v>8178</v>
      </c>
      <c r="G100" s="36">
        <v>-8253</v>
      </c>
      <c r="H100" s="36">
        <v>-149</v>
      </c>
      <c r="I100" s="36">
        <f t="shared" si="9"/>
        <v>8104</v>
      </c>
      <c r="J100" s="37">
        <f t="shared" si="7"/>
        <v>8141</v>
      </c>
      <c r="K100" s="38">
        <f t="shared" si="10"/>
        <v>4.3665933456947097E-4</v>
      </c>
      <c r="L100" s="37">
        <f>'Social- och hälsovårdskostnader'!$K100*$L$14</f>
        <v>8642.0977656415926</v>
      </c>
      <c r="M100" s="36">
        <v>-45.5809</v>
      </c>
      <c r="N100" s="239">
        <f t="shared" si="11"/>
        <v>8596516.8656415921</v>
      </c>
      <c r="Q100" s="44"/>
      <c r="R100" s="44"/>
      <c r="S100" s="44"/>
      <c r="T100" s="44"/>
      <c r="U100" s="39"/>
      <c r="AE100" s="40"/>
      <c r="AF100" s="7"/>
      <c r="AG100" s="7"/>
      <c r="AH100" s="7"/>
      <c r="AI100" s="9"/>
      <c r="AJ100" s="9"/>
      <c r="AK100" s="9"/>
    </row>
    <row r="101" spans="1:37" x14ac:dyDescent="0.35">
      <c r="A101" s="34">
        <v>256</v>
      </c>
      <c r="B101" s="34" t="s">
        <v>143</v>
      </c>
      <c r="C101" s="35">
        <f>Bestämningsfaktor_kommunvis!C91</f>
        <v>13</v>
      </c>
      <c r="D101" s="36">
        <v>-7600</v>
      </c>
      <c r="E101" s="36">
        <v>-99</v>
      </c>
      <c r="F101" s="36">
        <f t="shared" si="8"/>
        <v>7501</v>
      </c>
      <c r="G101" s="36">
        <v>-7517</v>
      </c>
      <c r="H101" s="36">
        <v>-95</v>
      </c>
      <c r="I101" s="36">
        <f t="shared" si="9"/>
        <v>7422</v>
      </c>
      <c r="J101" s="37">
        <f t="shared" si="7"/>
        <v>7461.5</v>
      </c>
      <c r="K101" s="38">
        <f t="shared" si="10"/>
        <v>4.0021294986980808E-4</v>
      </c>
      <c r="L101" s="37">
        <f>'Social- och hälsovårdskostnader'!$K101*$L$14</f>
        <v>7920.7729367810762</v>
      </c>
      <c r="M101" s="36">
        <v>-70.957859999999997</v>
      </c>
      <c r="N101" s="239">
        <f t="shared" si="11"/>
        <v>7849815.0767810754</v>
      </c>
      <c r="Q101" s="44"/>
      <c r="R101" s="44"/>
      <c r="S101" s="44"/>
      <c r="T101" s="44"/>
      <c r="U101" s="39"/>
      <c r="AE101" s="40"/>
      <c r="AF101" s="7"/>
      <c r="AG101" s="7"/>
      <c r="AH101" s="7"/>
      <c r="AI101" s="9"/>
      <c r="AJ101" s="9"/>
      <c r="AK101" s="9"/>
    </row>
    <row r="102" spans="1:37" x14ac:dyDescent="0.35">
      <c r="A102" s="34">
        <v>257</v>
      </c>
      <c r="B102" s="34" t="s">
        <v>144</v>
      </c>
      <c r="C102" s="35">
        <f>Bestämningsfaktor_kommunvis!C92</f>
        <v>33</v>
      </c>
      <c r="D102" s="36">
        <v>-108981</v>
      </c>
      <c r="E102" s="36">
        <v>-196</v>
      </c>
      <c r="F102" s="36">
        <f t="shared" si="8"/>
        <v>108785</v>
      </c>
      <c r="G102" s="36">
        <v>-114676</v>
      </c>
      <c r="H102" s="36">
        <v>-217</v>
      </c>
      <c r="I102" s="36">
        <f t="shared" si="9"/>
        <v>114459</v>
      </c>
      <c r="J102" s="37">
        <f t="shared" si="7"/>
        <v>111622</v>
      </c>
      <c r="K102" s="38">
        <f t="shared" si="10"/>
        <v>5.9870763104426352E-3</v>
      </c>
      <c r="L102" s="37">
        <f>'Social- och hälsovårdskostnader'!$K102*$L$14</f>
        <v>118492.5975674298</v>
      </c>
      <c r="M102" s="36">
        <v>-2164.413</v>
      </c>
      <c r="N102" s="239">
        <f t="shared" si="11"/>
        <v>116328184.5674298</v>
      </c>
      <c r="Q102" s="44"/>
      <c r="R102" s="44"/>
      <c r="S102" s="44"/>
      <c r="T102" s="44"/>
      <c r="U102" s="39"/>
      <c r="AE102" s="40"/>
      <c r="AF102" s="7"/>
      <c r="AG102" s="7"/>
      <c r="AH102" s="7"/>
      <c r="AI102" s="9"/>
      <c r="AJ102" s="9"/>
      <c r="AK102" s="9"/>
    </row>
    <row r="103" spans="1:37" x14ac:dyDescent="0.35">
      <c r="A103" s="34">
        <v>260</v>
      </c>
      <c r="B103" s="34" t="s">
        <v>145</v>
      </c>
      <c r="C103" s="35">
        <f>Bestämningsfaktor_kommunvis!C93</f>
        <v>12</v>
      </c>
      <c r="D103" s="36">
        <v>-42724</v>
      </c>
      <c r="E103" s="36">
        <v>-303</v>
      </c>
      <c r="F103" s="36">
        <f t="shared" si="8"/>
        <v>42421</v>
      </c>
      <c r="G103" s="36">
        <v>-44697</v>
      </c>
      <c r="H103" s="36">
        <v>-311</v>
      </c>
      <c r="I103" s="36">
        <f t="shared" si="9"/>
        <v>44386</v>
      </c>
      <c r="J103" s="37">
        <f t="shared" si="7"/>
        <v>43403.5</v>
      </c>
      <c r="K103" s="38">
        <f t="shared" si="10"/>
        <v>2.3280362889062812E-3</v>
      </c>
      <c r="L103" s="37">
        <f>'Social- och hälsovårdskostnader'!$K103*$L$14</f>
        <v>46075.087872623131</v>
      </c>
      <c r="M103" s="36">
        <v>-643.17102</v>
      </c>
      <c r="N103" s="239">
        <f t="shared" si="11"/>
        <v>45431916.852623127</v>
      </c>
      <c r="Q103" s="44"/>
      <c r="R103" s="44"/>
      <c r="S103" s="44"/>
      <c r="T103" s="44"/>
      <c r="U103" s="39"/>
      <c r="AE103" s="40"/>
      <c r="AF103" s="7"/>
      <c r="AG103" s="7"/>
      <c r="AH103" s="7"/>
      <c r="AI103" s="9"/>
      <c r="AJ103" s="9"/>
      <c r="AK103" s="9"/>
    </row>
    <row r="104" spans="1:37" x14ac:dyDescent="0.35">
      <c r="A104" s="34">
        <v>261</v>
      </c>
      <c r="B104" s="34" t="s">
        <v>146</v>
      </c>
      <c r="C104" s="35">
        <f>Bestämningsfaktor_kommunvis!C94</f>
        <v>19</v>
      </c>
      <c r="D104" s="36">
        <v>-27797</v>
      </c>
      <c r="E104" s="36">
        <v>-338</v>
      </c>
      <c r="F104" s="36">
        <f t="shared" si="8"/>
        <v>27459</v>
      </c>
      <c r="G104" s="36">
        <v>-27669</v>
      </c>
      <c r="H104" s="36">
        <v>-334</v>
      </c>
      <c r="I104" s="36">
        <f t="shared" si="9"/>
        <v>27335</v>
      </c>
      <c r="J104" s="37">
        <f t="shared" si="7"/>
        <v>27397</v>
      </c>
      <c r="K104" s="38">
        <f t="shared" si="10"/>
        <v>1.4694946307824341E-3</v>
      </c>
      <c r="L104" s="37">
        <f>'Social- och hälsovårdskostnader'!$K104*$L$14</f>
        <v>29083.350016617456</v>
      </c>
      <c r="M104" s="36">
        <v>-193.93251000000001</v>
      </c>
      <c r="N104" s="239">
        <f t="shared" si="11"/>
        <v>28889417.506617457</v>
      </c>
      <c r="Q104" s="44"/>
      <c r="R104" s="44"/>
      <c r="S104" s="44"/>
      <c r="T104" s="44"/>
      <c r="U104" s="39"/>
      <c r="AE104" s="40"/>
      <c r="AF104" s="7"/>
      <c r="AG104" s="7"/>
      <c r="AH104" s="7"/>
      <c r="AI104" s="9"/>
      <c r="AJ104" s="9"/>
      <c r="AK104" s="9"/>
    </row>
    <row r="105" spans="1:37" x14ac:dyDescent="0.35">
      <c r="A105" s="34">
        <v>263</v>
      </c>
      <c r="B105" s="34" t="s">
        <v>147</v>
      </c>
      <c r="C105" s="35">
        <f>Bestämningsfaktor_kommunvis!C95</f>
        <v>11</v>
      </c>
      <c r="D105" s="36">
        <v>-35344</v>
      </c>
      <c r="E105" s="36">
        <v>-368</v>
      </c>
      <c r="F105" s="36">
        <f t="shared" si="8"/>
        <v>34976</v>
      </c>
      <c r="G105" s="36">
        <v>-37011</v>
      </c>
      <c r="H105" s="36">
        <v>-404</v>
      </c>
      <c r="I105" s="36">
        <f t="shared" si="9"/>
        <v>36607</v>
      </c>
      <c r="J105" s="37">
        <f t="shared" si="7"/>
        <v>35791.5</v>
      </c>
      <c r="K105" s="38">
        <f t="shared" si="10"/>
        <v>1.9197509609683357E-3</v>
      </c>
      <c r="L105" s="37">
        <f>'Social- och hälsovårdskostnader'!$K105*$L$14</f>
        <v>37994.55130560878</v>
      </c>
      <c r="M105" s="36">
        <v>-448.60624999999999</v>
      </c>
      <c r="N105" s="239">
        <f t="shared" si="11"/>
        <v>37545945.055608787</v>
      </c>
      <c r="Q105" s="44"/>
      <c r="R105" s="44"/>
      <c r="S105" s="44"/>
      <c r="T105" s="44"/>
      <c r="U105" s="39"/>
      <c r="AE105" s="40"/>
      <c r="AF105" s="7"/>
      <c r="AG105" s="7"/>
      <c r="AH105" s="7"/>
      <c r="AI105" s="9"/>
      <c r="AJ105" s="9"/>
      <c r="AK105" s="9"/>
    </row>
    <row r="106" spans="1:37" x14ac:dyDescent="0.35">
      <c r="A106" s="34">
        <v>265</v>
      </c>
      <c r="B106" s="34" t="s">
        <v>148</v>
      </c>
      <c r="C106" s="35">
        <f>Bestämningsfaktor_kommunvis!C96</f>
        <v>13</v>
      </c>
      <c r="D106" s="36">
        <v>-5621</v>
      </c>
      <c r="E106" s="36">
        <v>-25</v>
      </c>
      <c r="F106" s="36">
        <f t="shared" si="8"/>
        <v>5596</v>
      </c>
      <c r="G106" s="36">
        <v>-5665</v>
      </c>
      <c r="H106" s="36">
        <v>-25</v>
      </c>
      <c r="I106" s="36">
        <f t="shared" si="9"/>
        <v>5640</v>
      </c>
      <c r="J106" s="37">
        <f t="shared" si="7"/>
        <v>5618</v>
      </c>
      <c r="K106" s="38">
        <f t="shared" si="10"/>
        <v>3.0133302316807367E-4</v>
      </c>
      <c r="L106" s="37">
        <f>'Social- och hälsovårdskostnader'!$K106*$L$14</f>
        <v>5963.8011604685498</v>
      </c>
      <c r="M106" s="36">
        <v>-65.979470000000006</v>
      </c>
      <c r="N106" s="239">
        <f t="shared" si="11"/>
        <v>5897821.6904685497</v>
      </c>
      <c r="Q106" s="44"/>
      <c r="R106" s="44"/>
      <c r="S106" s="44"/>
      <c r="T106" s="44"/>
      <c r="U106" s="39"/>
      <c r="AE106" s="40"/>
      <c r="AF106" s="7"/>
      <c r="AG106" s="7"/>
      <c r="AH106" s="7"/>
      <c r="AI106" s="9"/>
      <c r="AJ106" s="9"/>
      <c r="AK106" s="9"/>
    </row>
    <row r="107" spans="1:37" x14ac:dyDescent="0.35">
      <c r="A107" s="34">
        <v>271</v>
      </c>
      <c r="B107" s="34" t="s">
        <v>149</v>
      </c>
      <c r="C107" s="35">
        <f>Bestämningsfaktor_kommunvis!C97</f>
        <v>4</v>
      </c>
      <c r="D107" s="36">
        <v>-27613</v>
      </c>
      <c r="E107" s="36">
        <v>-167</v>
      </c>
      <c r="F107" s="36">
        <f t="shared" si="8"/>
        <v>27446</v>
      </c>
      <c r="G107" s="36">
        <v>-29063</v>
      </c>
      <c r="H107" s="36">
        <v>-179</v>
      </c>
      <c r="I107" s="36">
        <f t="shared" si="9"/>
        <v>28884</v>
      </c>
      <c r="J107" s="37">
        <f t="shared" si="7"/>
        <v>28165</v>
      </c>
      <c r="K107" s="38">
        <f t="shared" si="10"/>
        <v>1.5106878956085432E-3</v>
      </c>
      <c r="L107" s="37">
        <f>'Social- och hälsovårdskostnader'!$K107*$L$14</f>
        <v>29898.622229369299</v>
      </c>
      <c r="M107" s="36">
        <v>-396.74079</v>
      </c>
      <c r="N107" s="239">
        <f t="shared" si="11"/>
        <v>29501881.439369299</v>
      </c>
      <c r="Q107" s="44"/>
      <c r="R107" s="44"/>
      <c r="S107" s="44"/>
      <c r="T107" s="44"/>
      <c r="U107" s="39"/>
      <c r="AE107" s="40"/>
      <c r="AF107" s="7"/>
      <c r="AG107" s="7"/>
      <c r="AH107" s="7"/>
      <c r="AI107" s="9"/>
      <c r="AJ107" s="9"/>
      <c r="AK107" s="9"/>
    </row>
    <row r="108" spans="1:37" x14ac:dyDescent="0.35">
      <c r="A108" s="34">
        <v>272</v>
      </c>
      <c r="B108" s="34" t="s">
        <v>150</v>
      </c>
      <c r="C108" s="35">
        <f>Bestämningsfaktor_kommunvis!C98</f>
        <v>16</v>
      </c>
      <c r="D108" s="36">
        <v>-166615</v>
      </c>
      <c r="E108" s="36">
        <v>-806</v>
      </c>
      <c r="F108" s="36">
        <f t="shared" si="8"/>
        <v>165809</v>
      </c>
      <c r="G108" s="36">
        <v>-170981</v>
      </c>
      <c r="H108" s="36">
        <v>-969</v>
      </c>
      <c r="I108" s="36">
        <f t="shared" si="9"/>
        <v>170012</v>
      </c>
      <c r="J108" s="37">
        <f t="shared" si="7"/>
        <v>167910.5</v>
      </c>
      <c r="K108" s="38">
        <f t="shared" si="10"/>
        <v>9.006226163521331E-3</v>
      </c>
      <c r="L108" s="37">
        <f>'Social- och hälsovårdskostnader'!$K108*$L$14</f>
        <v>178245.78760321368</v>
      </c>
      <c r="M108" s="36">
        <v>-2389.1396600000003</v>
      </c>
      <c r="N108" s="239">
        <f t="shared" si="11"/>
        <v>175856647.9432137</v>
      </c>
      <c r="Q108" s="44"/>
      <c r="R108" s="44"/>
      <c r="S108" s="44"/>
      <c r="T108" s="44"/>
      <c r="U108" s="39"/>
      <c r="AE108" s="40"/>
      <c r="AF108" s="7"/>
      <c r="AG108" s="7"/>
      <c r="AH108" s="7"/>
      <c r="AI108" s="9"/>
      <c r="AJ108" s="9"/>
      <c r="AK108" s="9"/>
    </row>
    <row r="109" spans="1:37" x14ac:dyDescent="0.35">
      <c r="A109" s="34">
        <v>273</v>
      </c>
      <c r="B109" s="34" t="s">
        <v>151</v>
      </c>
      <c r="C109" s="35">
        <f>Bestämningsfaktor_kommunvis!C99</f>
        <v>19</v>
      </c>
      <c r="D109" s="36">
        <v>-16399</v>
      </c>
      <c r="E109" s="36">
        <v>-168</v>
      </c>
      <c r="F109" s="36">
        <f t="shared" si="8"/>
        <v>16231</v>
      </c>
      <c r="G109" s="36">
        <v>-17602</v>
      </c>
      <c r="H109" s="36">
        <v>-174</v>
      </c>
      <c r="I109" s="36">
        <f t="shared" si="9"/>
        <v>17428</v>
      </c>
      <c r="J109" s="37">
        <f t="shared" si="7"/>
        <v>16829.5</v>
      </c>
      <c r="K109" s="38">
        <f t="shared" si="10"/>
        <v>9.0268496144661737E-4</v>
      </c>
      <c r="L109" s="37">
        <f>'Social- och hälsovårdskostnader'!$K109*$L$14</f>
        <v>17865.395448576979</v>
      </c>
      <c r="M109" s="36">
        <v>-162.64991000000001</v>
      </c>
      <c r="N109" s="239">
        <f t="shared" si="11"/>
        <v>17702745.538576979</v>
      </c>
      <c r="Q109" s="44"/>
      <c r="R109" s="44"/>
      <c r="S109" s="44"/>
      <c r="T109" s="44"/>
      <c r="U109" s="39"/>
      <c r="AE109" s="40"/>
      <c r="AF109" s="7"/>
      <c r="AG109" s="7"/>
      <c r="AH109" s="7"/>
      <c r="AI109" s="9"/>
      <c r="AJ109" s="9"/>
      <c r="AK109" s="9"/>
    </row>
    <row r="110" spans="1:37" x14ac:dyDescent="0.35">
      <c r="A110" s="34">
        <v>275</v>
      </c>
      <c r="B110" s="34" t="s">
        <v>152</v>
      </c>
      <c r="C110" s="35">
        <f>Bestämningsfaktor_kommunvis!C100</f>
        <v>13</v>
      </c>
      <c r="D110" s="36">
        <v>-11851</v>
      </c>
      <c r="E110" s="36">
        <v>-75</v>
      </c>
      <c r="F110" s="36">
        <f t="shared" si="8"/>
        <v>11776</v>
      </c>
      <c r="G110" s="36">
        <v>-11565</v>
      </c>
      <c r="H110" s="36">
        <v>-84</v>
      </c>
      <c r="I110" s="36">
        <f t="shared" si="9"/>
        <v>11481</v>
      </c>
      <c r="J110" s="37">
        <f t="shared" si="7"/>
        <v>11628.5</v>
      </c>
      <c r="K110" s="38">
        <f t="shared" si="10"/>
        <v>6.2371859378959507E-4</v>
      </c>
      <c r="L110" s="37">
        <f>'Social- och hälsovårdskostnader'!$K110*$L$14</f>
        <v>12344.261622376031</v>
      </c>
      <c r="M110" s="36">
        <v>-157.9256</v>
      </c>
      <c r="N110" s="239">
        <f t="shared" si="11"/>
        <v>12186336.022376031</v>
      </c>
      <c r="Q110" s="44"/>
      <c r="R110" s="44"/>
      <c r="S110" s="44"/>
      <c r="T110" s="44"/>
      <c r="U110" s="39"/>
      <c r="AE110" s="40"/>
      <c r="AF110" s="7"/>
      <c r="AG110" s="7"/>
      <c r="AH110" s="7"/>
      <c r="AI110" s="9"/>
      <c r="AJ110" s="9"/>
      <c r="AK110" s="9"/>
    </row>
    <row r="111" spans="1:37" x14ac:dyDescent="0.35">
      <c r="A111" s="34">
        <v>276</v>
      </c>
      <c r="B111" s="34" t="s">
        <v>153</v>
      </c>
      <c r="C111" s="35">
        <f>Bestämningsfaktor_kommunvis!C101</f>
        <v>12</v>
      </c>
      <c r="D111" s="36">
        <v>-37827</v>
      </c>
      <c r="E111" s="36">
        <v>-228</v>
      </c>
      <c r="F111" s="36">
        <f t="shared" si="8"/>
        <v>37599</v>
      </c>
      <c r="G111" s="36">
        <v>-37759</v>
      </c>
      <c r="H111" s="36">
        <v>-234</v>
      </c>
      <c r="I111" s="36">
        <f t="shared" si="9"/>
        <v>37525</v>
      </c>
      <c r="J111" s="37">
        <f t="shared" si="7"/>
        <v>37562</v>
      </c>
      <c r="K111" s="38">
        <f t="shared" si="10"/>
        <v>2.0147153820290467E-3</v>
      </c>
      <c r="L111" s="37">
        <f>'Social- och hälsovårdskostnader'!$K111*$L$14</f>
        <v>39874.029759615471</v>
      </c>
      <c r="M111" s="36">
        <v>-844.57098999999994</v>
      </c>
      <c r="N111" s="239">
        <f t="shared" si="11"/>
        <v>39029458.769615471</v>
      </c>
      <c r="Q111" s="44"/>
      <c r="R111" s="44"/>
      <c r="S111" s="44"/>
      <c r="T111" s="44"/>
      <c r="U111" s="39"/>
      <c r="AE111" s="40"/>
      <c r="AF111" s="7"/>
      <c r="AG111" s="7"/>
      <c r="AH111" s="7"/>
      <c r="AI111" s="9"/>
      <c r="AJ111" s="9"/>
      <c r="AK111" s="9"/>
    </row>
    <row r="112" spans="1:37" x14ac:dyDescent="0.35">
      <c r="A112" s="34">
        <v>280</v>
      </c>
      <c r="B112" s="34" t="s">
        <v>154</v>
      </c>
      <c r="C112" s="35">
        <f>Bestämningsfaktor_kommunvis!C102</f>
        <v>15</v>
      </c>
      <c r="D112" s="36">
        <v>-7677</v>
      </c>
      <c r="E112" s="36">
        <v>-43</v>
      </c>
      <c r="F112" s="36">
        <f t="shared" si="8"/>
        <v>7634</v>
      </c>
      <c r="G112" s="36">
        <v>-8043</v>
      </c>
      <c r="H112" s="36">
        <v>-47</v>
      </c>
      <c r="I112" s="36">
        <f t="shared" si="9"/>
        <v>7996</v>
      </c>
      <c r="J112" s="37">
        <f t="shared" si="7"/>
        <v>7815</v>
      </c>
      <c r="K112" s="38">
        <f t="shared" si="10"/>
        <v>4.1917365184380491E-4</v>
      </c>
      <c r="L112" s="37">
        <f>'Social- och hälsovårdskostnader'!$K112*$L$14</f>
        <v>8296.0316961662029</v>
      </c>
      <c r="M112" s="36">
        <v>-32.019959999999998</v>
      </c>
      <c r="N112" s="239">
        <f t="shared" si="11"/>
        <v>8264011.7361662034</v>
      </c>
      <c r="Q112" s="44"/>
      <c r="R112" s="44"/>
      <c r="S112" s="44"/>
      <c r="T112" s="44"/>
      <c r="U112" s="39"/>
      <c r="AE112" s="40"/>
      <c r="AF112" s="7"/>
      <c r="AG112" s="7"/>
      <c r="AH112" s="7"/>
      <c r="AI112" s="9"/>
      <c r="AJ112" s="9"/>
      <c r="AK112" s="9"/>
    </row>
    <row r="113" spans="1:37" x14ac:dyDescent="0.35">
      <c r="A113" s="34">
        <v>284</v>
      </c>
      <c r="B113" s="34" t="s">
        <v>155</v>
      </c>
      <c r="C113" s="35">
        <f>Bestämningsfaktor_kommunvis!C103</f>
        <v>2</v>
      </c>
      <c r="D113" s="36">
        <v>-9170</v>
      </c>
      <c r="E113" s="36">
        <v>-50</v>
      </c>
      <c r="F113" s="36">
        <f t="shared" si="8"/>
        <v>9120</v>
      </c>
      <c r="G113" s="36">
        <v>-8697</v>
      </c>
      <c r="H113" s="36">
        <v>-51</v>
      </c>
      <c r="I113" s="36">
        <f t="shared" si="9"/>
        <v>8646</v>
      </c>
      <c r="J113" s="37">
        <f t="shared" si="7"/>
        <v>8883</v>
      </c>
      <c r="K113" s="38">
        <f t="shared" si="10"/>
        <v>4.7645803574261278E-4</v>
      </c>
      <c r="L113" s="37">
        <f>'Social- och hälsovårdskostnader'!$K113*$L$14</f>
        <v>9429.7696170242325</v>
      </c>
      <c r="M113" s="36">
        <v>-90.192429999999987</v>
      </c>
      <c r="N113" s="239">
        <f t="shared" si="11"/>
        <v>9339577.1870242339</v>
      </c>
      <c r="Q113" s="44"/>
      <c r="R113" s="44"/>
      <c r="S113" s="44"/>
      <c r="T113" s="44"/>
      <c r="U113" s="39"/>
      <c r="AE113" s="40"/>
      <c r="AF113" s="7"/>
      <c r="AG113" s="7"/>
      <c r="AH113" s="7"/>
      <c r="AI113" s="9"/>
      <c r="AJ113" s="9"/>
      <c r="AK113" s="9"/>
    </row>
    <row r="114" spans="1:37" x14ac:dyDescent="0.35">
      <c r="A114" s="34">
        <v>285</v>
      </c>
      <c r="B114" s="34" t="s">
        <v>156</v>
      </c>
      <c r="C114" s="35">
        <f>Bestämningsfaktor_kommunvis!C104</f>
        <v>8</v>
      </c>
      <c r="D114" s="36">
        <v>-218357</v>
      </c>
      <c r="E114" s="36">
        <v>-494</v>
      </c>
      <c r="F114" s="36">
        <f t="shared" si="8"/>
        <v>217863</v>
      </c>
      <c r="G114" s="36">
        <v>-213977</v>
      </c>
      <c r="H114" s="36">
        <v>-582</v>
      </c>
      <c r="I114" s="36">
        <f t="shared" si="9"/>
        <v>213395</v>
      </c>
      <c r="J114" s="37">
        <f t="shared" si="7"/>
        <v>215629</v>
      </c>
      <c r="K114" s="38">
        <f t="shared" si="10"/>
        <v>1.1565706381756597E-2</v>
      </c>
      <c r="L114" s="37">
        <f>'Social- och hälsovårdskostnader'!$K114*$L$14</f>
        <v>228901.47391076418</v>
      </c>
      <c r="M114" s="36">
        <v>-6252.6755199999998</v>
      </c>
      <c r="N114" s="239">
        <f t="shared" si="11"/>
        <v>222648798.39076418</v>
      </c>
      <c r="Q114" s="44"/>
      <c r="R114" s="44"/>
      <c r="S114" s="44"/>
      <c r="T114" s="44"/>
      <c r="U114" s="39"/>
      <c r="AE114" s="40"/>
      <c r="AF114" s="7"/>
      <c r="AG114" s="7"/>
      <c r="AH114" s="7"/>
      <c r="AI114" s="9"/>
      <c r="AJ114" s="9"/>
      <c r="AK114" s="9"/>
    </row>
    <row r="115" spans="1:37" x14ac:dyDescent="0.35">
      <c r="A115" s="34">
        <v>286</v>
      </c>
      <c r="B115" s="34" t="s">
        <v>157</v>
      </c>
      <c r="C115" s="35">
        <f>Bestämningsfaktor_kommunvis!C105</f>
        <v>8</v>
      </c>
      <c r="D115" s="36">
        <v>-319413</v>
      </c>
      <c r="E115" s="36">
        <v>-1174</v>
      </c>
      <c r="F115" s="36">
        <f t="shared" si="8"/>
        <v>318239</v>
      </c>
      <c r="G115" s="36">
        <v>-329234</v>
      </c>
      <c r="H115" s="36">
        <v>-1077</v>
      </c>
      <c r="I115" s="36">
        <f t="shared" si="9"/>
        <v>328157</v>
      </c>
      <c r="J115" s="37">
        <f t="shared" si="7"/>
        <v>323198</v>
      </c>
      <c r="K115" s="38">
        <f t="shared" si="10"/>
        <v>1.733539167352707E-2</v>
      </c>
      <c r="L115" s="37">
        <f>'Social- och hälsovårdskostnader'!$K115*$L$14</f>
        <v>343091.59976167936</v>
      </c>
      <c r="M115" s="36">
        <v>-7091.03251</v>
      </c>
      <c r="N115" s="239">
        <f t="shared" si="11"/>
        <v>336000567.25167936</v>
      </c>
      <c r="Q115" s="44"/>
      <c r="R115" s="44"/>
      <c r="S115" s="44"/>
      <c r="T115" s="44"/>
      <c r="U115" s="39"/>
      <c r="AE115" s="40"/>
      <c r="AF115" s="7"/>
      <c r="AG115" s="7"/>
      <c r="AH115" s="7"/>
      <c r="AI115" s="9"/>
      <c r="AJ115" s="9"/>
      <c r="AK115" s="9"/>
    </row>
    <row r="116" spans="1:37" x14ac:dyDescent="0.35">
      <c r="A116" s="34">
        <v>287</v>
      </c>
      <c r="B116" s="34" t="s">
        <v>158</v>
      </c>
      <c r="C116" s="35">
        <f>Bestämningsfaktor_kommunvis!C106</f>
        <v>15</v>
      </c>
      <c r="D116" s="36">
        <v>-26004</v>
      </c>
      <c r="E116" s="36">
        <v>-168</v>
      </c>
      <c r="F116" s="36">
        <f t="shared" si="8"/>
        <v>25836</v>
      </c>
      <c r="G116" s="36">
        <v>-26914</v>
      </c>
      <c r="H116" s="36">
        <v>-172</v>
      </c>
      <c r="I116" s="36">
        <f t="shared" si="9"/>
        <v>26742</v>
      </c>
      <c r="J116" s="37">
        <f t="shared" si="7"/>
        <v>26289</v>
      </c>
      <c r="K116" s="38">
        <f t="shared" si="10"/>
        <v>1.4100647643405996E-3</v>
      </c>
      <c r="L116" s="37">
        <f>'Social- och hälsovårdskostnader'!$K116*$L$14</f>
        <v>27907.150001345268</v>
      </c>
      <c r="M116" s="36">
        <v>-120.97608</v>
      </c>
      <c r="N116" s="239">
        <f t="shared" si="11"/>
        <v>27786173.921345267</v>
      </c>
      <c r="Q116" s="44"/>
      <c r="R116" s="44"/>
      <c r="S116" s="44"/>
      <c r="T116" s="44"/>
      <c r="U116" s="39"/>
      <c r="AE116" s="40"/>
      <c r="AF116" s="7"/>
      <c r="AG116" s="7"/>
      <c r="AH116" s="7"/>
      <c r="AI116" s="9"/>
      <c r="AJ116" s="9"/>
      <c r="AK116" s="9"/>
    </row>
    <row r="117" spans="1:37" x14ac:dyDescent="0.35">
      <c r="A117" s="34">
        <v>288</v>
      </c>
      <c r="B117" s="34" t="s">
        <v>159</v>
      </c>
      <c r="C117" s="35">
        <f>Bestämningsfaktor_kommunvis!C107</f>
        <v>15</v>
      </c>
      <c r="D117" s="36">
        <v>-23439</v>
      </c>
      <c r="E117" s="36">
        <v>-171</v>
      </c>
      <c r="F117" s="36">
        <f t="shared" si="8"/>
        <v>23268</v>
      </c>
      <c r="G117" s="36">
        <v>-23350</v>
      </c>
      <c r="H117" s="36">
        <v>-200</v>
      </c>
      <c r="I117" s="36">
        <f t="shared" si="9"/>
        <v>23150</v>
      </c>
      <c r="J117" s="37">
        <f t="shared" si="7"/>
        <v>23209</v>
      </c>
      <c r="K117" s="38">
        <f t="shared" si="10"/>
        <v>1.2448626085275582E-3</v>
      </c>
      <c r="L117" s="37">
        <f>'Social- och hälsovårdskostnader'!$K117*$L$14</f>
        <v>24637.568731455071</v>
      </c>
      <c r="M117" s="36">
        <v>-117.29514999999999</v>
      </c>
      <c r="N117" s="239">
        <f t="shared" si="11"/>
        <v>24520273.581455071</v>
      </c>
      <c r="Q117" s="44"/>
      <c r="R117" s="44"/>
      <c r="S117" s="44"/>
      <c r="T117" s="44"/>
      <c r="U117" s="39"/>
      <c r="AE117" s="40"/>
      <c r="AF117" s="7"/>
      <c r="AG117" s="7"/>
      <c r="AH117" s="7"/>
      <c r="AI117" s="9"/>
      <c r="AJ117" s="9"/>
      <c r="AK117" s="9"/>
    </row>
    <row r="118" spans="1:37" x14ac:dyDescent="0.35">
      <c r="A118" s="34">
        <v>290</v>
      </c>
      <c r="B118" s="34" t="s">
        <v>160</v>
      </c>
      <c r="C118" s="35">
        <f>Bestämningsfaktor_kommunvis!C108</f>
        <v>18</v>
      </c>
      <c r="D118" s="36">
        <v>-40782</v>
      </c>
      <c r="E118" s="36">
        <v>-276</v>
      </c>
      <c r="F118" s="36">
        <f t="shared" si="8"/>
        <v>40506</v>
      </c>
      <c r="G118" s="36">
        <v>-40936</v>
      </c>
      <c r="H118" s="36">
        <v>-287</v>
      </c>
      <c r="I118" s="36">
        <f t="shared" si="9"/>
        <v>40649</v>
      </c>
      <c r="J118" s="37">
        <f t="shared" si="7"/>
        <v>40577.5</v>
      </c>
      <c r="K118" s="38">
        <f t="shared" si="10"/>
        <v>2.1764579472414577E-3</v>
      </c>
      <c r="L118" s="37">
        <f>'Social- och hälsovårdskostnader'!$K118*$L$14</f>
        <v>43075.140902262836</v>
      </c>
      <c r="M118" s="36">
        <v>-566.84311000000002</v>
      </c>
      <c r="N118" s="239">
        <f t="shared" si="11"/>
        <v>42508297.792262837</v>
      </c>
      <c r="Q118" s="44"/>
      <c r="R118" s="44"/>
      <c r="S118" s="44"/>
      <c r="T118" s="44"/>
      <c r="U118" s="39"/>
      <c r="AE118" s="40"/>
      <c r="AF118" s="7"/>
      <c r="AG118" s="7"/>
      <c r="AH118" s="7"/>
      <c r="AI118" s="9"/>
      <c r="AJ118" s="9"/>
      <c r="AK118" s="9"/>
    </row>
    <row r="119" spans="1:37" x14ac:dyDescent="0.35">
      <c r="A119" s="34">
        <v>291</v>
      </c>
      <c r="B119" s="34" t="s">
        <v>161</v>
      </c>
      <c r="C119" s="35">
        <f>Bestämningsfaktor_kommunvis!C109</f>
        <v>6</v>
      </c>
      <c r="D119" s="36">
        <v>-10416</v>
      </c>
      <c r="E119" s="36">
        <v>-62</v>
      </c>
      <c r="F119" s="36">
        <f t="shared" si="8"/>
        <v>10354</v>
      </c>
      <c r="G119" s="36">
        <v>-10503</v>
      </c>
      <c r="H119" s="36">
        <v>-61</v>
      </c>
      <c r="I119" s="36">
        <f t="shared" si="9"/>
        <v>10442</v>
      </c>
      <c r="J119" s="37">
        <f t="shared" si="7"/>
        <v>10398</v>
      </c>
      <c r="K119" s="38">
        <f t="shared" si="10"/>
        <v>5.5771818705974195E-4</v>
      </c>
      <c r="L119" s="37">
        <f>'Social- och hälsovårdskostnader'!$K119*$L$14</f>
        <v>11038.021442960482</v>
      </c>
      <c r="M119" s="36">
        <v>-128.10060999999999</v>
      </c>
      <c r="N119" s="239">
        <f t="shared" si="11"/>
        <v>10909920.832960483</v>
      </c>
      <c r="Q119" s="44"/>
      <c r="R119" s="44"/>
      <c r="S119" s="44"/>
      <c r="T119" s="44"/>
      <c r="U119" s="39"/>
      <c r="AE119" s="40"/>
      <c r="AF119" s="7"/>
      <c r="AG119" s="7"/>
      <c r="AH119" s="7"/>
      <c r="AI119" s="9"/>
      <c r="AJ119" s="9"/>
      <c r="AK119" s="9"/>
    </row>
    <row r="120" spans="1:37" x14ac:dyDescent="0.35">
      <c r="A120" s="34">
        <v>297</v>
      </c>
      <c r="B120" s="34" t="s">
        <v>162</v>
      </c>
      <c r="C120" s="35">
        <f>Bestämningsfaktor_kommunvis!C110</f>
        <v>11</v>
      </c>
      <c r="D120" s="36">
        <v>-414314</v>
      </c>
      <c r="E120" s="36">
        <v>-1719</v>
      </c>
      <c r="F120" s="36">
        <f t="shared" si="8"/>
        <v>412595</v>
      </c>
      <c r="G120" s="36">
        <v>-445095</v>
      </c>
      <c r="H120" s="36">
        <v>-1863</v>
      </c>
      <c r="I120" s="36">
        <f t="shared" si="9"/>
        <v>443232</v>
      </c>
      <c r="J120" s="37">
        <f t="shared" si="7"/>
        <v>427913.5</v>
      </c>
      <c r="K120" s="38">
        <f t="shared" si="10"/>
        <v>2.2952023604384392E-2</v>
      </c>
      <c r="L120" s="37">
        <f>'Social- och hälsovårdskostnader'!$K120*$L$14</f>
        <v>454252.58595232456</v>
      </c>
      <c r="M120" s="36">
        <v>-10813.044179999999</v>
      </c>
      <c r="N120" s="239">
        <f t="shared" si="11"/>
        <v>443439541.77232456</v>
      </c>
      <c r="Q120" s="44"/>
      <c r="R120" s="44"/>
      <c r="S120" s="44"/>
      <c r="T120" s="44"/>
      <c r="U120" s="39"/>
      <c r="AE120" s="40"/>
      <c r="AF120" s="7"/>
      <c r="AG120" s="7"/>
      <c r="AH120" s="7"/>
      <c r="AI120" s="9"/>
      <c r="AJ120" s="9"/>
      <c r="AK120" s="9"/>
    </row>
    <row r="121" spans="1:37" x14ac:dyDescent="0.35">
      <c r="A121" s="34">
        <v>300</v>
      </c>
      <c r="B121" s="34" t="s">
        <v>163</v>
      </c>
      <c r="C121" s="35">
        <f>Bestämningsfaktor_kommunvis!C111</f>
        <v>14</v>
      </c>
      <c r="D121" s="36">
        <v>-14051</v>
      </c>
      <c r="E121" s="36">
        <v>-94</v>
      </c>
      <c r="F121" s="36">
        <f t="shared" si="8"/>
        <v>13957</v>
      </c>
      <c r="G121" s="36">
        <v>-14353</v>
      </c>
      <c r="H121" s="36">
        <v>-93</v>
      </c>
      <c r="I121" s="36">
        <f t="shared" si="9"/>
        <v>14260</v>
      </c>
      <c r="J121" s="37">
        <f t="shared" si="7"/>
        <v>14108.5</v>
      </c>
      <c r="K121" s="38">
        <f t="shared" si="10"/>
        <v>7.5673851145723883E-4</v>
      </c>
      <c r="L121" s="37">
        <f>'Social- och hälsovårdskostnader'!$K121*$L$14</f>
        <v>14976.911476053852</v>
      </c>
      <c r="M121" s="36">
        <v>-77.372770000000003</v>
      </c>
      <c r="N121" s="239">
        <f t="shared" si="11"/>
        <v>14899538.706053853</v>
      </c>
      <c r="Q121" s="44"/>
      <c r="R121" s="44"/>
      <c r="S121" s="44"/>
      <c r="T121" s="44"/>
      <c r="U121" s="39"/>
      <c r="AE121" s="40"/>
      <c r="AF121" s="7"/>
      <c r="AG121" s="7"/>
      <c r="AH121" s="7"/>
      <c r="AI121" s="9"/>
      <c r="AJ121" s="9"/>
      <c r="AK121" s="9"/>
    </row>
    <row r="122" spans="1:37" x14ac:dyDescent="0.35">
      <c r="A122" s="34">
        <v>301</v>
      </c>
      <c r="B122" s="34" t="s">
        <v>164</v>
      </c>
      <c r="C122" s="35">
        <f>Bestämningsfaktor_kommunvis!C112</f>
        <v>14</v>
      </c>
      <c r="D122" s="36">
        <v>-82305</v>
      </c>
      <c r="E122" s="36">
        <v>-741</v>
      </c>
      <c r="F122" s="36">
        <f t="shared" si="8"/>
        <v>81564</v>
      </c>
      <c r="G122" s="36">
        <v>-86758</v>
      </c>
      <c r="H122" s="36">
        <v>-829</v>
      </c>
      <c r="I122" s="36">
        <f t="shared" si="9"/>
        <v>85929</v>
      </c>
      <c r="J122" s="37">
        <f t="shared" si="7"/>
        <v>83746.5</v>
      </c>
      <c r="K122" s="38">
        <f t="shared" si="10"/>
        <v>4.4919163447392461E-3</v>
      </c>
      <c r="L122" s="37">
        <f>'Social- och hälsovårdskostnader'!$K122*$L$14</f>
        <v>88901.294746382962</v>
      </c>
      <c r="M122" s="36">
        <v>-735.41034999999999</v>
      </c>
      <c r="N122" s="239">
        <f t="shared" si="11"/>
        <v>88165884.396382958</v>
      </c>
      <c r="Q122" s="44"/>
      <c r="R122" s="44"/>
      <c r="S122" s="44"/>
      <c r="T122" s="44"/>
      <c r="U122" s="39"/>
      <c r="AE122" s="40"/>
      <c r="AF122" s="7"/>
      <c r="AG122" s="7"/>
      <c r="AH122" s="7"/>
      <c r="AI122" s="9"/>
      <c r="AJ122" s="9"/>
      <c r="AK122" s="9"/>
    </row>
    <row r="123" spans="1:37" x14ac:dyDescent="0.35">
      <c r="A123" s="34">
        <v>304</v>
      </c>
      <c r="B123" s="34" t="s">
        <v>165</v>
      </c>
      <c r="C123" s="35">
        <f>Bestämningsfaktor_kommunvis!C113</f>
        <v>2</v>
      </c>
      <c r="D123" s="36">
        <v>-4393</v>
      </c>
      <c r="E123" s="36">
        <v>-11</v>
      </c>
      <c r="F123" s="36">
        <f t="shared" si="8"/>
        <v>4382</v>
      </c>
      <c r="G123" s="36">
        <v>-4315</v>
      </c>
      <c r="H123" s="36">
        <v>-12</v>
      </c>
      <c r="I123" s="36">
        <f t="shared" si="9"/>
        <v>4303</v>
      </c>
      <c r="J123" s="37">
        <f t="shared" si="7"/>
        <v>4342.5</v>
      </c>
      <c r="K123" s="38">
        <f t="shared" si="10"/>
        <v>2.3291894857731577E-4</v>
      </c>
      <c r="L123" s="37">
        <f>'Social- och hälsovårdskostnader'!$K123*$L$14</f>
        <v>4609.7911248370738</v>
      </c>
      <c r="M123" s="36">
        <v>-42.192519999999995</v>
      </c>
      <c r="N123" s="239">
        <f t="shared" si="11"/>
        <v>4567598.6048370739</v>
      </c>
      <c r="Q123" s="44"/>
      <c r="R123" s="44"/>
      <c r="S123" s="44"/>
      <c r="T123" s="44"/>
      <c r="U123" s="39"/>
      <c r="AE123" s="40"/>
      <c r="AF123" s="7"/>
      <c r="AG123" s="7"/>
      <c r="AH123" s="7"/>
      <c r="AI123" s="9"/>
      <c r="AJ123" s="9"/>
      <c r="AK123" s="9"/>
    </row>
    <row r="124" spans="1:37" x14ac:dyDescent="0.35">
      <c r="A124" s="34">
        <v>305</v>
      </c>
      <c r="B124" s="34" t="s">
        <v>166</v>
      </c>
      <c r="C124" s="35">
        <f>Bestämningsfaktor_kommunvis!C114</f>
        <v>17</v>
      </c>
      <c r="D124" s="36">
        <v>-60721</v>
      </c>
      <c r="E124" s="36">
        <v>-535</v>
      </c>
      <c r="F124" s="36">
        <f t="shared" si="8"/>
        <v>60186</v>
      </c>
      <c r="G124" s="36">
        <v>-63543</v>
      </c>
      <c r="H124" s="36">
        <v>-545</v>
      </c>
      <c r="I124" s="36">
        <f t="shared" si="9"/>
        <v>62998</v>
      </c>
      <c r="J124" s="37">
        <f t="shared" si="7"/>
        <v>61592</v>
      </c>
      <c r="K124" s="38">
        <f t="shared" si="10"/>
        <v>3.303614019752224E-3</v>
      </c>
      <c r="L124" s="37">
        <f>'Social- och hälsovårdskostnader'!$K124*$L$14</f>
        <v>65383.132978921138</v>
      </c>
      <c r="M124" s="36">
        <v>-410.05475000000001</v>
      </c>
      <c r="N124" s="239">
        <f t="shared" si="11"/>
        <v>64973078.228921138</v>
      </c>
      <c r="Q124" s="44"/>
      <c r="R124" s="44"/>
      <c r="S124" s="44"/>
      <c r="T124" s="44"/>
      <c r="U124" s="39"/>
      <c r="AE124" s="40"/>
      <c r="AF124" s="7"/>
      <c r="AG124" s="7"/>
      <c r="AH124" s="7"/>
      <c r="AI124" s="9"/>
      <c r="AJ124" s="9"/>
      <c r="AK124" s="9"/>
    </row>
    <row r="125" spans="1:37" x14ac:dyDescent="0.35">
      <c r="A125" s="34">
        <v>309</v>
      </c>
      <c r="B125" s="34" t="s">
        <v>167</v>
      </c>
      <c r="C125" s="35">
        <f>Bestämningsfaktor_kommunvis!C115</f>
        <v>12</v>
      </c>
      <c r="D125" s="36">
        <v>-27108</v>
      </c>
      <c r="E125" s="36">
        <v>-138</v>
      </c>
      <c r="F125" s="36">
        <f t="shared" si="8"/>
        <v>26970</v>
      </c>
      <c r="G125" s="36">
        <v>-29012</v>
      </c>
      <c r="H125" s="36">
        <v>-143</v>
      </c>
      <c r="I125" s="36">
        <f t="shared" si="9"/>
        <v>28869</v>
      </c>
      <c r="J125" s="37">
        <f t="shared" si="7"/>
        <v>27919.5</v>
      </c>
      <c r="K125" s="38">
        <f t="shared" si="10"/>
        <v>1.497519996500718E-3</v>
      </c>
      <c r="L125" s="37">
        <f>'Social- och hälsovårdskostnader'!$K125*$L$14</f>
        <v>29638.011124902405</v>
      </c>
      <c r="M125" s="36">
        <v>-505.14076</v>
      </c>
      <c r="N125" s="239">
        <f t="shared" si="11"/>
        <v>29132870.364902407</v>
      </c>
      <c r="Q125" s="44"/>
      <c r="R125" s="44"/>
      <c r="S125" s="44"/>
      <c r="T125" s="44"/>
      <c r="U125" s="39"/>
      <c r="AE125" s="40"/>
      <c r="AF125" s="7"/>
      <c r="AG125" s="7"/>
      <c r="AH125" s="7"/>
      <c r="AI125" s="9"/>
      <c r="AJ125" s="9"/>
      <c r="AK125" s="9"/>
    </row>
    <row r="126" spans="1:37" x14ac:dyDescent="0.35">
      <c r="A126" s="34">
        <v>312</v>
      </c>
      <c r="B126" s="34" t="s">
        <v>168</v>
      </c>
      <c r="C126" s="35">
        <f>Bestämningsfaktor_kommunvis!C116</f>
        <v>13</v>
      </c>
      <c r="D126" s="36">
        <v>-5951</v>
      </c>
      <c r="E126" s="36">
        <v>-63</v>
      </c>
      <c r="F126" s="36">
        <f t="shared" si="8"/>
        <v>5888</v>
      </c>
      <c r="G126" s="36">
        <v>-6061</v>
      </c>
      <c r="H126" s="36">
        <v>-54</v>
      </c>
      <c r="I126" s="36">
        <f t="shared" si="9"/>
        <v>6007</v>
      </c>
      <c r="J126" s="37">
        <f t="shared" si="7"/>
        <v>5947.5</v>
      </c>
      <c r="K126" s="38">
        <f t="shared" si="10"/>
        <v>3.1900643561625459E-4</v>
      </c>
      <c r="L126" s="37">
        <f>'Social- och hälsovårdskostnader'!$K126*$L$14</f>
        <v>6313.5826632051803</v>
      </c>
      <c r="M126" s="36">
        <v>-42.060790000000004</v>
      </c>
      <c r="N126" s="239">
        <f t="shared" si="11"/>
        <v>6271521.8732051803</v>
      </c>
      <c r="Q126" s="44"/>
      <c r="R126" s="44"/>
      <c r="S126" s="44"/>
      <c r="T126" s="44"/>
      <c r="U126" s="39"/>
      <c r="AE126" s="40"/>
      <c r="AF126" s="7"/>
      <c r="AG126" s="7"/>
      <c r="AH126" s="7"/>
      <c r="AI126" s="9"/>
      <c r="AJ126" s="9"/>
      <c r="AK126" s="9"/>
    </row>
    <row r="127" spans="1:37" x14ac:dyDescent="0.35">
      <c r="A127" s="34">
        <v>316</v>
      </c>
      <c r="B127" s="34" t="s">
        <v>169</v>
      </c>
      <c r="C127" s="35">
        <f>Bestämningsfaktor_kommunvis!C117</f>
        <v>7</v>
      </c>
      <c r="D127" s="36">
        <v>-15217</v>
      </c>
      <c r="E127" s="36">
        <v>-129</v>
      </c>
      <c r="F127" s="36">
        <f t="shared" si="8"/>
        <v>15088</v>
      </c>
      <c r="G127" s="36">
        <v>-15886</v>
      </c>
      <c r="H127" s="36">
        <v>-127</v>
      </c>
      <c r="I127" s="36">
        <f t="shared" si="9"/>
        <v>15759</v>
      </c>
      <c r="J127" s="37">
        <f t="shared" si="7"/>
        <v>15423.5</v>
      </c>
      <c r="K127" s="38">
        <f t="shared" si="10"/>
        <v>8.2727125005923545E-4</v>
      </c>
      <c r="L127" s="37">
        <f>'Social- och hälsovårdskostnader'!$K127*$L$14</f>
        <v>16372.852829919311</v>
      </c>
      <c r="M127" s="36">
        <v>-188.82701</v>
      </c>
      <c r="N127" s="239">
        <f t="shared" si="11"/>
        <v>16184025.819919311</v>
      </c>
      <c r="Q127" s="44"/>
      <c r="R127" s="44"/>
      <c r="S127" s="44"/>
      <c r="T127" s="44"/>
      <c r="U127" s="39"/>
      <c r="AE127" s="40"/>
      <c r="AF127" s="7"/>
      <c r="AG127" s="7"/>
      <c r="AH127" s="7"/>
      <c r="AI127" s="9"/>
      <c r="AJ127" s="9"/>
      <c r="AK127" s="9"/>
    </row>
    <row r="128" spans="1:37" x14ac:dyDescent="0.35">
      <c r="A128" s="34">
        <v>317</v>
      </c>
      <c r="B128" s="34" t="s">
        <v>170</v>
      </c>
      <c r="C128" s="35">
        <f>Bestämningsfaktor_kommunvis!C118</f>
        <v>17</v>
      </c>
      <c r="D128" s="36">
        <v>-10269</v>
      </c>
      <c r="E128" s="36">
        <v>-144</v>
      </c>
      <c r="F128" s="36">
        <f t="shared" si="8"/>
        <v>10125</v>
      </c>
      <c r="G128" s="36">
        <v>-10259</v>
      </c>
      <c r="H128" s="36">
        <v>-143</v>
      </c>
      <c r="I128" s="36">
        <f t="shared" si="9"/>
        <v>10116</v>
      </c>
      <c r="J128" s="37">
        <f t="shared" si="7"/>
        <v>10120.5</v>
      </c>
      <c r="K128" s="38">
        <f t="shared" si="10"/>
        <v>5.4283390191749549E-4</v>
      </c>
      <c r="L128" s="37">
        <f>'Social- och hälsovårdskostnader'!$K128*$L$14</f>
        <v>10743.440662962257</v>
      </c>
      <c r="M128" s="36">
        <v>-95.982140000000001</v>
      </c>
      <c r="N128" s="239">
        <f t="shared" si="11"/>
        <v>10647458.522962257</v>
      </c>
      <c r="Q128" s="44"/>
      <c r="R128" s="44"/>
      <c r="S128" s="44"/>
      <c r="T128" s="44"/>
      <c r="U128" s="39"/>
      <c r="AE128" s="40"/>
      <c r="AF128" s="7"/>
      <c r="AG128" s="7"/>
      <c r="AH128" s="7"/>
      <c r="AI128" s="9"/>
      <c r="AJ128" s="9"/>
      <c r="AK128" s="9"/>
    </row>
    <row r="129" spans="1:37" x14ac:dyDescent="0.35">
      <c r="A129" s="34">
        <v>320</v>
      </c>
      <c r="B129" s="34" t="s">
        <v>171</v>
      </c>
      <c r="C129" s="35">
        <f>Bestämningsfaktor_kommunvis!C119</f>
        <v>19</v>
      </c>
      <c r="D129" s="36">
        <v>-39354</v>
      </c>
      <c r="E129" s="36">
        <v>-416</v>
      </c>
      <c r="F129" s="36">
        <f t="shared" si="8"/>
        <v>38938</v>
      </c>
      <c r="G129" s="36">
        <v>-39616</v>
      </c>
      <c r="H129" s="36">
        <v>-443</v>
      </c>
      <c r="I129" s="36">
        <f t="shared" si="9"/>
        <v>39173</v>
      </c>
      <c r="J129" s="37">
        <f t="shared" si="7"/>
        <v>39055.5</v>
      </c>
      <c r="K129" s="38">
        <f t="shared" si="10"/>
        <v>2.0948223364792989E-3</v>
      </c>
      <c r="L129" s="37">
        <f>'Social- och hälsovårdskostnader'!$K129*$L$14</f>
        <v>41459.458209804106</v>
      </c>
      <c r="M129" s="36">
        <v>-506.50542999999999</v>
      </c>
      <c r="N129" s="239">
        <f t="shared" si="11"/>
        <v>40952952.779804111</v>
      </c>
      <c r="Q129" s="44"/>
      <c r="R129" s="44"/>
      <c r="S129" s="44"/>
      <c r="T129" s="44"/>
      <c r="U129" s="39"/>
      <c r="AE129" s="40"/>
      <c r="AF129" s="7"/>
      <c r="AG129" s="7"/>
      <c r="AH129" s="7"/>
      <c r="AI129" s="9"/>
      <c r="AJ129" s="9"/>
      <c r="AK129" s="9"/>
    </row>
    <row r="130" spans="1:37" x14ac:dyDescent="0.35">
      <c r="A130" s="34">
        <v>322</v>
      </c>
      <c r="B130" s="34" t="s">
        <v>172</v>
      </c>
      <c r="C130" s="35">
        <f>Bestämningsfaktor_kommunvis!C120</f>
        <v>2</v>
      </c>
      <c r="D130" s="36">
        <v>-28567</v>
      </c>
      <c r="E130" s="36">
        <v>-124</v>
      </c>
      <c r="F130" s="36">
        <f t="shared" si="8"/>
        <v>28443</v>
      </c>
      <c r="G130" s="36">
        <v>-28350</v>
      </c>
      <c r="H130" s="36">
        <v>-118</v>
      </c>
      <c r="I130" s="36">
        <f t="shared" si="9"/>
        <v>28232</v>
      </c>
      <c r="J130" s="37">
        <f t="shared" si="7"/>
        <v>28337.5</v>
      </c>
      <c r="K130" s="38">
        <f t="shared" si="10"/>
        <v>1.519940289075345E-3</v>
      </c>
      <c r="L130" s="37">
        <f>'Social- och hälsovårdskostnader'!$K130*$L$14</f>
        <v>30081.740011530357</v>
      </c>
      <c r="M130" s="36">
        <v>-223.76136</v>
      </c>
      <c r="N130" s="239">
        <f t="shared" si="11"/>
        <v>29857978.651530355</v>
      </c>
      <c r="Q130" s="44"/>
      <c r="R130" s="44"/>
      <c r="S130" s="44"/>
      <c r="T130" s="44"/>
      <c r="U130" s="39"/>
      <c r="AE130" s="40"/>
      <c r="AF130" s="7"/>
      <c r="AG130" s="7"/>
      <c r="AH130" s="7"/>
      <c r="AI130" s="9"/>
      <c r="AJ130" s="9"/>
      <c r="AK130" s="9"/>
    </row>
    <row r="131" spans="1:37" x14ac:dyDescent="0.35">
      <c r="A131" s="34">
        <v>398</v>
      </c>
      <c r="B131" s="34" t="s">
        <v>173</v>
      </c>
      <c r="C131" s="35">
        <f>Bestämningsfaktor_kommunvis!C121</f>
        <v>7</v>
      </c>
      <c r="D131" s="36">
        <v>-391560</v>
      </c>
      <c r="E131" s="36">
        <v>-906</v>
      </c>
      <c r="F131" s="36">
        <f t="shared" si="8"/>
        <v>390654</v>
      </c>
      <c r="G131" s="36">
        <v>-409499</v>
      </c>
      <c r="H131" s="36">
        <v>-946</v>
      </c>
      <c r="I131" s="36">
        <f t="shared" si="9"/>
        <v>408553</v>
      </c>
      <c r="J131" s="37">
        <f t="shared" si="7"/>
        <v>399603.5</v>
      </c>
      <c r="K131" s="38">
        <f t="shared" si="10"/>
        <v>2.1433558334557377E-2</v>
      </c>
      <c r="L131" s="37">
        <f>'Social- och hälsovårdskostnader'!$K131*$L$14</f>
        <v>424200.03863070393</v>
      </c>
      <c r="M131" s="36">
        <v>-15287.99367</v>
      </c>
      <c r="N131" s="239">
        <f t="shared" si="11"/>
        <v>408912044.96070391</v>
      </c>
      <c r="Q131" s="44"/>
      <c r="R131" s="44"/>
      <c r="S131" s="44"/>
      <c r="T131" s="44"/>
      <c r="U131" s="39"/>
      <c r="AE131" s="40"/>
      <c r="AF131" s="7"/>
      <c r="AG131" s="7"/>
      <c r="AH131" s="7"/>
      <c r="AI131" s="9"/>
      <c r="AJ131" s="9"/>
      <c r="AK131" s="9"/>
    </row>
    <row r="132" spans="1:37" x14ac:dyDescent="0.35">
      <c r="A132" s="34">
        <v>399</v>
      </c>
      <c r="B132" s="34" t="s">
        <v>174</v>
      </c>
      <c r="C132" s="35">
        <f>Bestämningsfaktor_kommunvis!C122</f>
        <v>15</v>
      </c>
      <c r="D132" s="36">
        <v>-26573</v>
      </c>
      <c r="E132" s="36">
        <v>-139</v>
      </c>
      <c r="F132" s="36">
        <f t="shared" si="8"/>
        <v>26434</v>
      </c>
      <c r="G132" s="36">
        <v>-27822</v>
      </c>
      <c r="H132" s="36">
        <v>-149</v>
      </c>
      <c r="I132" s="36">
        <f t="shared" si="9"/>
        <v>27673</v>
      </c>
      <c r="J132" s="37">
        <f t="shared" si="7"/>
        <v>27053.5</v>
      </c>
      <c r="K132" s="38">
        <f t="shared" si="10"/>
        <v>1.4510702994441939E-3</v>
      </c>
      <c r="L132" s="37">
        <f>'Social- och hälsovårdskostnader'!$K132*$L$14</f>
        <v>28718.70678083587</v>
      </c>
      <c r="M132" s="36">
        <v>-225.96582999999998</v>
      </c>
      <c r="N132" s="239">
        <f t="shared" si="11"/>
        <v>28492740.950835869</v>
      </c>
      <c r="Q132" s="44"/>
      <c r="R132" s="44"/>
      <c r="S132" s="44"/>
      <c r="T132" s="44"/>
      <c r="U132" s="39"/>
      <c r="AE132" s="40"/>
      <c r="AF132" s="7"/>
      <c r="AG132" s="7"/>
      <c r="AH132" s="7"/>
      <c r="AI132" s="9"/>
      <c r="AJ132" s="9"/>
      <c r="AK132" s="9"/>
    </row>
    <row r="133" spans="1:37" x14ac:dyDescent="0.35">
      <c r="A133" s="34">
        <v>400</v>
      </c>
      <c r="B133" s="34" t="s">
        <v>175</v>
      </c>
      <c r="C133" s="35">
        <f>Bestämningsfaktor_kommunvis!C123</f>
        <v>2</v>
      </c>
      <c r="D133" s="36">
        <v>-29513</v>
      </c>
      <c r="E133" s="36">
        <v>-102</v>
      </c>
      <c r="F133" s="36">
        <f t="shared" si="8"/>
        <v>29411</v>
      </c>
      <c r="G133" s="36">
        <v>-30302</v>
      </c>
      <c r="H133" s="36">
        <v>-125</v>
      </c>
      <c r="I133" s="36">
        <f t="shared" si="9"/>
        <v>30177</v>
      </c>
      <c r="J133" s="37">
        <f t="shared" si="7"/>
        <v>29794</v>
      </c>
      <c r="K133" s="38">
        <f t="shared" si="10"/>
        <v>1.5980626721732978E-3</v>
      </c>
      <c r="L133" s="37">
        <f>'Social- och hälsovårdskostnader'!$K133*$L$14</f>
        <v>31627.891024385899</v>
      </c>
      <c r="M133" s="36">
        <v>-181.34177</v>
      </c>
      <c r="N133" s="239">
        <f t="shared" si="11"/>
        <v>31446549.2543859</v>
      </c>
      <c r="Q133" s="44"/>
      <c r="R133" s="44"/>
      <c r="S133" s="44"/>
      <c r="T133" s="44"/>
      <c r="U133" s="39"/>
      <c r="AE133" s="40"/>
      <c r="AF133" s="7"/>
      <c r="AG133" s="7"/>
      <c r="AH133" s="7"/>
      <c r="AI133" s="9"/>
      <c r="AJ133" s="9"/>
      <c r="AK133" s="9"/>
    </row>
    <row r="134" spans="1:37" x14ac:dyDescent="0.35">
      <c r="A134" s="34">
        <v>402</v>
      </c>
      <c r="B134" s="34" t="s">
        <v>176</v>
      </c>
      <c r="C134" s="35">
        <f>Bestämningsfaktor_kommunvis!C124</f>
        <v>11</v>
      </c>
      <c r="D134" s="36">
        <v>-38505</v>
      </c>
      <c r="E134" s="36">
        <v>-298</v>
      </c>
      <c r="F134" s="36">
        <f t="shared" si="8"/>
        <v>38207</v>
      </c>
      <c r="G134" s="36">
        <v>-39843</v>
      </c>
      <c r="H134" s="36">
        <v>-309</v>
      </c>
      <c r="I134" s="36">
        <f t="shared" si="9"/>
        <v>39534</v>
      </c>
      <c r="J134" s="37">
        <f t="shared" si="7"/>
        <v>38870.5</v>
      </c>
      <c r="K134" s="38">
        <f t="shared" si="10"/>
        <v>2.0848994797178014E-3</v>
      </c>
      <c r="L134" s="37">
        <f>'Social- och hälsovårdskostnader'!$K134*$L$14</f>
        <v>41263.071023138626</v>
      </c>
      <c r="M134" s="36">
        <v>-606.04395</v>
      </c>
      <c r="N134" s="239">
        <f t="shared" si="11"/>
        <v>40657027.073138624</v>
      </c>
      <c r="Q134" s="44"/>
      <c r="R134" s="44"/>
      <c r="S134" s="44"/>
      <c r="T134" s="44"/>
      <c r="U134" s="39"/>
      <c r="AE134" s="40"/>
      <c r="AF134" s="7"/>
      <c r="AG134" s="7"/>
      <c r="AH134" s="7"/>
      <c r="AI134" s="9"/>
      <c r="AJ134" s="9"/>
      <c r="AK134" s="9"/>
    </row>
    <row r="135" spans="1:37" x14ac:dyDescent="0.35">
      <c r="A135" s="34">
        <v>403</v>
      </c>
      <c r="B135" s="34" t="s">
        <v>177</v>
      </c>
      <c r="C135" s="35">
        <f>Bestämningsfaktor_kommunvis!C125</f>
        <v>14</v>
      </c>
      <c r="D135" s="36">
        <v>-11406</v>
      </c>
      <c r="E135" s="36">
        <v>-89</v>
      </c>
      <c r="F135" s="36">
        <f t="shared" si="8"/>
        <v>11317</v>
      </c>
      <c r="G135" s="36">
        <v>-13135</v>
      </c>
      <c r="H135" s="36">
        <v>-74</v>
      </c>
      <c r="I135" s="36">
        <f t="shared" si="9"/>
        <v>13061</v>
      </c>
      <c r="J135" s="37">
        <f t="shared" si="7"/>
        <v>12189</v>
      </c>
      <c r="K135" s="38">
        <f t="shared" si="10"/>
        <v>6.5378216792375411E-4</v>
      </c>
      <c r="L135" s="37">
        <f>'Social- och hälsovårdskostnader'!$K135*$L$14</f>
        <v>12939.261720354427</v>
      </c>
      <c r="M135" s="36">
        <v>-60.321769999999994</v>
      </c>
      <c r="N135" s="239">
        <f t="shared" si="11"/>
        <v>12878939.950354427</v>
      </c>
      <c r="Q135" s="44"/>
      <c r="R135" s="44"/>
      <c r="S135" s="44"/>
      <c r="T135" s="44"/>
      <c r="U135" s="39"/>
      <c r="AE135" s="40"/>
      <c r="AF135" s="7"/>
      <c r="AG135" s="7"/>
      <c r="AH135" s="7"/>
      <c r="AI135" s="9"/>
      <c r="AJ135" s="9"/>
      <c r="AK135" s="9"/>
    </row>
    <row r="136" spans="1:37" x14ac:dyDescent="0.35">
      <c r="A136" s="34">
        <v>405</v>
      </c>
      <c r="B136" s="34" t="s">
        <v>178</v>
      </c>
      <c r="C136" s="35">
        <f>Bestämningsfaktor_kommunvis!C126</f>
        <v>9</v>
      </c>
      <c r="D136" s="36">
        <v>-247454</v>
      </c>
      <c r="E136" s="36">
        <v>-1177</v>
      </c>
      <c r="F136" s="36">
        <f t="shared" si="8"/>
        <v>246277</v>
      </c>
      <c r="G136" s="36">
        <v>-246539</v>
      </c>
      <c r="H136" s="36">
        <v>-1226</v>
      </c>
      <c r="I136" s="36">
        <f t="shared" si="9"/>
        <v>245313</v>
      </c>
      <c r="J136" s="37">
        <f t="shared" si="7"/>
        <v>245795</v>
      </c>
      <c r="K136" s="38">
        <f t="shared" si="10"/>
        <v>1.3183722041580042E-2</v>
      </c>
      <c r="L136" s="37">
        <f>'Social- och hälsovårdskostnader'!$K136*$L$14</f>
        <v>260924.26241320174</v>
      </c>
      <c r="M136" s="36">
        <v>-4851.15996</v>
      </c>
      <c r="N136" s="239">
        <f t="shared" si="11"/>
        <v>256073102.45320174</v>
      </c>
      <c r="Q136" s="44"/>
      <c r="R136" s="44"/>
      <c r="S136" s="44"/>
      <c r="T136" s="44"/>
      <c r="U136" s="39"/>
      <c r="AE136" s="40"/>
      <c r="AF136" s="7"/>
      <c r="AG136" s="7"/>
      <c r="AH136" s="7"/>
      <c r="AI136" s="9"/>
      <c r="AJ136" s="9"/>
      <c r="AK136" s="9"/>
    </row>
    <row r="137" spans="1:37" x14ac:dyDescent="0.35">
      <c r="A137" s="34">
        <v>407</v>
      </c>
      <c r="B137" s="34" t="s">
        <v>179</v>
      </c>
      <c r="C137" s="35">
        <f>Bestämningsfaktor_kommunvis!C127</f>
        <v>34</v>
      </c>
      <c r="D137" s="36">
        <v>-9980</v>
      </c>
      <c r="E137" s="36">
        <v>-45</v>
      </c>
      <c r="F137" s="36">
        <f t="shared" si="8"/>
        <v>9935</v>
      </c>
      <c r="G137" s="36">
        <v>-10276</v>
      </c>
      <c r="H137" s="36">
        <v>-39</v>
      </c>
      <c r="I137" s="36">
        <f t="shared" si="9"/>
        <v>10237</v>
      </c>
      <c r="J137" s="37">
        <f t="shared" si="7"/>
        <v>10086</v>
      </c>
      <c r="K137" s="38">
        <f t="shared" si="10"/>
        <v>5.4098342322413519E-4</v>
      </c>
      <c r="L137" s="37">
        <f>'Social- och hälsovårdskostnader'!$K137*$L$14</f>
        <v>10706.817106530047</v>
      </c>
      <c r="M137" s="36">
        <v>-240.29383999999999</v>
      </c>
      <c r="N137" s="239">
        <f t="shared" si="11"/>
        <v>10466523.266530046</v>
      </c>
      <c r="Q137" s="44"/>
      <c r="R137" s="44"/>
      <c r="S137" s="44"/>
      <c r="T137" s="44"/>
      <c r="U137" s="39"/>
      <c r="AE137" s="40"/>
      <c r="AF137" s="7"/>
      <c r="AG137" s="47"/>
      <c r="AH137" s="7"/>
      <c r="AI137" s="9"/>
      <c r="AJ137" s="9"/>
      <c r="AK137" s="9"/>
    </row>
    <row r="138" spans="1:37" x14ac:dyDescent="0.35">
      <c r="A138" s="34">
        <v>408</v>
      </c>
      <c r="B138" s="34" t="s">
        <v>180</v>
      </c>
      <c r="C138" s="35">
        <f>Bestämningsfaktor_kommunvis!C128</f>
        <v>14</v>
      </c>
      <c r="D138" s="36">
        <v>-48254</v>
      </c>
      <c r="E138" s="36">
        <v>-209</v>
      </c>
      <c r="F138" s="36">
        <f t="shared" si="8"/>
        <v>48045</v>
      </c>
      <c r="G138" s="36">
        <v>-51038</v>
      </c>
      <c r="H138" s="36">
        <v>-224</v>
      </c>
      <c r="I138" s="36">
        <f t="shared" si="9"/>
        <v>50814</v>
      </c>
      <c r="J138" s="37">
        <f t="shared" si="7"/>
        <v>49429.5</v>
      </c>
      <c r="K138" s="38">
        <f t="shared" si="10"/>
        <v>2.6512532340132251E-3</v>
      </c>
      <c r="L138" s="37">
        <f>'Social- och hälsovårdskostnader'!$K138*$L$14</f>
        <v>52472.002396116099</v>
      </c>
      <c r="M138" s="36">
        <v>-400.61364000000003</v>
      </c>
      <c r="N138" s="239">
        <f t="shared" si="11"/>
        <v>52071388.756116092</v>
      </c>
      <c r="Q138" s="44"/>
      <c r="R138" s="44"/>
      <c r="S138" s="44"/>
      <c r="T138" s="44"/>
      <c r="U138" s="39"/>
      <c r="AE138" s="40"/>
      <c r="AF138" s="7"/>
      <c r="AG138" s="7"/>
      <c r="AH138" s="7"/>
      <c r="AI138" s="9"/>
      <c r="AJ138" s="9"/>
      <c r="AK138" s="9"/>
    </row>
    <row r="139" spans="1:37" x14ac:dyDescent="0.35">
      <c r="A139" s="34">
        <v>410</v>
      </c>
      <c r="B139" s="34" t="s">
        <v>181</v>
      </c>
      <c r="C139" s="35">
        <f>Bestämningsfaktor_kommunvis!C129</f>
        <v>13</v>
      </c>
      <c r="D139" s="36">
        <v>-58351</v>
      </c>
      <c r="E139" s="36">
        <v>-344</v>
      </c>
      <c r="F139" s="36">
        <f t="shared" si="8"/>
        <v>58007</v>
      </c>
      <c r="G139" s="36">
        <v>-59456</v>
      </c>
      <c r="H139" s="36">
        <v>-342</v>
      </c>
      <c r="I139" s="36">
        <f t="shared" si="9"/>
        <v>59114</v>
      </c>
      <c r="J139" s="37">
        <f t="shared" si="7"/>
        <v>58560.5</v>
      </c>
      <c r="K139" s="38">
        <f t="shared" si="10"/>
        <v>3.1410132615226024E-3</v>
      </c>
      <c r="L139" s="37">
        <f>'Social- och hälsovårdskostnader'!$K139*$L$14</f>
        <v>62165.036998508112</v>
      </c>
      <c r="M139" s="36">
        <v>-835.58010000000002</v>
      </c>
      <c r="N139" s="239">
        <f t="shared" si="11"/>
        <v>61329456.898508117</v>
      </c>
      <c r="Q139" s="44"/>
      <c r="R139" s="44"/>
      <c r="S139" s="44"/>
      <c r="T139" s="44"/>
      <c r="U139" s="39"/>
      <c r="AE139" s="40"/>
      <c r="AF139" s="7"/>
      <c r="AG139" s="7"/>
      <c r="AH139" s="7"/>
      <c r="AI139" s="9"/>
      <c r="AJ139" s="9"/>
      <c r="AK139" s="9"/>
    </row>
    <row r="140" spans="1:37" x14ac:dyDescent="0.35">
      <c r="A140" s="34">
        <v>416</v>
      </c>
      <c r="B140" s="34" t="s">
        <v>182</v>
      </c>
      <c r="C140" s="35">
        <f>Bestämningsfaktor_kommunvis!C130</f>
        <v>9</v>
      </c>
      <c r="D140" s="36">
        <v>-10958</v>
      </c>
      <c r="E140" s="36">
        <v>-151</v>
      </c>
      <c r="F140" s="36">
        <f t="shared" si="8"/>
        <v>10807</v>
      </c>
      <c r="G140" s="36">
        <v>-10506</v>
      </c>
      <c r="H140" s="36">
        <v>-134</v>
      </c>
      <c r="I140" s="36">
        <f t="shared" si="9"/>
        <v>10372</v>
      </c>
      <c r="J140" s="37">
        <f t="shared" si="7"/>
        <v>10589.5</v>
      </c>
      <c r="K140" s="38">
        <f t="shared" si="10"/>
        <v>5.6798968473448144E-4</v>
      </c>
      <c r="L140" s="37">
        <f>'Social- och hälsovårdskostnader'!$K140*$L$14</f>
        <v>11241.308719968267</v>
      </c>
      <c r="M140" s="36">
        <v>-117.55239</v>
      </c>
      <c r="N140" s="239">
        <f t="shared" si="11"/>
        <v>11123756.329968266</v>
      </c>
      <c r="Q140" s="44"/>
      <c r="R140" s="44"/>
      <c r="S140" s="44"/>
      <c r="T140" s="44"/>
      <c r="U140" s="39"/>
      <c r="AE140" s="40"/>
      <c r="AF140" s="7"/>
      <c r="AG140" s="7"/>
      <c r="AH140" s="7"/>
      <c r="AI140" s="9"/>
      <c r="AJ140" s="9"/>
      <c r="AK140" s="9"/>
    </row>
    <row r="141" spans="1:37" x14ac:dyDescent="0.35">
      <c r="A141" s="34">
        <v>418</v>
      </c>
      <c r="B141" s="34" t="s">
        <v>183</v>
      </c>
      <c r="C141" s="35">
        <f>Bestämningsfaktor_kommunvis!C131</f>
        <v>6</v>
      </c>
      <c r="D141" s="36">
        <v>-62653</v>
      </c>
      <c r="E141" s="36">
        <v>-42</v>
      </c>
      <c r="F141" s="36">
        <f t="shared" si="8"/>
        <v>62611</v>
      </c>
      <c r="G141" s="36">
        <v>-64538</v>
      </c>
      <c r="H141" s="36">
        <v>-85</v>
      </c>
      <c r="I141" s="36">
        <f t="shared" si="9"/>
        <v>64453</v>
      </c>
      <c r="J141" s="37">
        <f t="shared" si="7"/>
        <v>63532</v>
      </c>
      <c r="K141" s="38">
        <f t="shared" si="10"/>
        <v>3.4076699230890101E-3</v>
      </c>
      <c r="L141" s="37">
        <f>'Social- och hälsovårdskostnader'!$K141*$L$14</f>
        <v>67442.544558007823</v>
      </c>
      <c r="M141" s="36">
        <v>-846.40601000000004</v>
      </c>
      <c r="N141" s="239">
        <f t="shared" si="11"/>
        <v>66596138.548007816</v>
      </c>
      <c r="Q141" s="44"/>
      <c r="R141" s="44"/>
      <c r="S141" s="44"/>
      <c r="T141" s="44"/>
      <c r="U141" s="39"/>
      <c r="AE141" s="40"/>
      <c r="AF141" s="7"/>
      <c r="AG141" s="7"/>
      <c r="AH141" s="7"/>
      <c r="AI141" s="9"/>
      <c r="AJ141" s="9"/>
      <c r="AK141" s="9"/>
    </row>
    <row r="142" spans="1:37" x14ac:dyDescent="0.35">
      <c r="A142" s="34">
        <v>420</v>
      </c>
      <c r="B142" s="34" t="s">
        <v>184</v>
      </c>
      <c r="C142" s="35">
        <f>Bestämningsfaktor_kommunvis!C132</f>
        <v>11</v>
      </c>
      <c r="D142" s="36">
        <v>-40018</v>
      </c>
      <c r="E142" s="36">
        <v>-148</v>
      </c>
      <c r="F142" s="36">
        <f t="shared" si="8"/>
        <v>39870</v>
      </c>
      <c r="G142" s="36">
        <v>-41166</v>
      </c>
      <c r="H142" s="36">
        <v>-265</v>
      </c>
      <c r="I142" s="36">
        <f t="shared" si="9"/>
        <v>40901</v>
      </c>
      <c r="J142" s="37">
        <f t="shared" ref="J142:J205" si="12">AVERAGE(F142,I142)</f>
        <v>40385.5</v>
      </c>
      <c r="K142" s="38">
        <f t="shared" si="10"/>
        <v>2.1661596310349304E-3</v>
      </c>
      <c r="L142" s="37">
        <f>'Social- och hälsovårdskostnader'!$K142*$L$14</f>
        <v>42871.322849074873</v>
      </c>
      <c r="M142" s="36">
        <v>-658.54065000000003</v>
      </c>
      <c r="N142" s="239">
        <f t="shared" si="11"/>
        <v>42212782.199074872</v>
      </c>
      <c r="Q142" s="44"/>
      <c r="R142" s="44"/>
      <c r="S142" s="44"/>
      <c r="T142" s="44"/>
      <c r="U142" s="39"/>
      <c r="AE142" s="40"/>
      <c r="AF142" s="7"/>
      <c r="AG142" s="7"/>
      <c r="AH142" s="7"/>
      <c r="AI142" s="9"/>
      <c r="AJ142" s="9"/>
      <c r="AK142" s="9"/>
    </row>
    <row r="143" spans="1:37" x14ac:dyDescent="0.35">
      <c r="A143" s="34">
        <v>421</v>
      </c>
      <c r="B143" s="34" t="s">
        <v>185</v>
      </c>
      <c r="C143" s="35">
        <f>Bestämningsfaktor_kommunvis!C133</f>
        <v>16</v>
      </c>
      <c r="D143" s="36">
        <v>-3563</v>
      </c>
      <c r="E143" s="36">
        <v>-39</v>
      </c>
      <c r="F143" s="36">
        <f t="shared" ref="F143:F206" si="13">-(D143-E143)</f>
        <v>3524</v>
      </c>
      <c r="G143" s="36">
        <v>-3472</v>
      </c>
      <c r="H143" s="36">
        <v>-45</v>
      </c>
      <c r="I143" s="36">
        <f t="shared" ref="I143:I206" si="14">-(G143-H143)</f>
        <v>3427</v>
      </c>
      <c r="J143" s="37">
        <f t="shared" si="12"/>
        <v>3475.5</v>
      </c>
      <c r="K143" s="38">
        <f t="shared" si="10"/>
        <v>1.8641561445721612E-4</v>
      </c>
      <c r="L143" s="37">
        <f>'Social- och hälsovårdskostnader'!$K143*$L$14</f>
        <v>3689.4252284101899</v>
      </c>
      <c r="M143" s="36">
        <v>-17.245069999999998</v>
      </c>
      <c r="N143" s="239">
        <f t="shared" si="11"/>
        <v>3672180.1584101901</v>
      </c>
      <c r="Q143" s="44"/>
      <c r="R143" s="44"/>
      <c r="S143" s="44"/>
      <c r="T143" s="44"/>
      <c r="U143" s="39"/>
      <c r="AE143" s="40"/>
      <c r="AF143" s="7"/>
      <c r="AG143" s="7"/>
      <c r="AH143" s="7"/>
      <c r="AI143" s="9"/>
      <c r="AJ143" s="9"/>
      <c r="AK143" s="9"/>
    </row>
    <row r="144" spans="1:37" x14ac:dyDescent="0.35">
      <c r="A144" s="34">
        <v>422</v>
      </c>
      <c r="B144" s="34" t="s">
        <v>186</v>
      </c>
      <c r="C144" s="35">
        <f>Bestämningsfaktor_kommunvis!C134</f>
        <v>12</v>
      </c>
      <c r="D144" s="36">
        <v>-50091</v>
      </c>
      <c r="E144" s="36">
        <v>-349</v>
      </c>
      <c r="F144" s="36">
        <f t="shared" si="13"/>
        <v>49742</v>
      </c>
      <c r="G144" s="36">
        <v>-51155</v>
      </c>
      <c r="H144" s="36">
        <v>-355</v>
      </c>
      <c r="I144" s="36">
        <f t="shared" si="14"/>
        <v>50800</v>
      </c>
      <c r="J144" s="37">
        <f t="shared" si="12"/>
        <v>50271</v>
      </c>
      <c r="K144" s="38">
        <f t="shared" ref="K144:K207" si="15">J144/$J$14</f>
        <v>2.6963888230121455E-3</v>
      </c>
      <c r="L144" s="37">
        <f>'Social- och hälsovårdskostnader'!$K144*$L$14</f>
        <v>53365.298707353955</v>
      </c>
      <c r="M144" s="36">
        <v>-1149.91869</v>
      </c>
      <c r="N144" s="239">
        <f t="shared" ref="N144:N207" si="16">(L144+M144)*1000</f>
        <v>52215380.017353959</v>
      </c>
      <c r="Q144" s="44"/>
      <c r="R144" s="44"/>
      <c r="S144" s="44"/>
      <c r="T144" s="44"/>
      <c r="U144" s="39"/>
      <c r="AE144" s="40"/>
      <c r="AF144" s="7"/>
      <c r="AG144" s="7"/>
      <c r="AH144" s="7"/>
      <c r="AI144" s="9"/>
      <c r="AJ144" s="9"/>
      <c r="AK144" s="9"/>
    </row>
    <row r="145" spans="1:37" x14ac:dyDescent="0.35">
      <c r="A145" s="34">
        <v>423</v>
      </c>
      <c r="B145" s="34" t="s">
        <v>187</v>
      </c>
      <c r="C145" s="35">
        <f>Bestämningsfaktor_kommunvis!C135</f>
        <v>2</v>
      </c>
      <c r="D145" s="36">
        <v>-54886</v>
      </c>
      <c r="E145" s="36">
        <v>-184</v>
      </c>
      <c r="F145" s="36">
        <f t="shared" si="13"/>
        <v>54702</v>
      </c>
      <c r="G145" s="36">
        <v>-56772</v>
      </c>
      <c r="H145" s="36">
        <v>-179</v>
      </c>
      <c r="I145" s="36">
        <f t="shared" si="14"/>
        <v>56593</v>
      </c>
      <c r="J145" s="37">
        <f t="shared" si="12"/>
        <v>55647.5</v>
      </c>
      <c r="K145" s="38">
        <f t="shared" si="15"/>
        <v>2.9847684953266964E-3</v>
      </c>
      <c r="L145" s="37">
        <f>'Social- och hälsovårdskostnader'!$K145*$L$14</f>
        <v>59072.734972797021</v>
      </c>
      <c r="M145" s="36">
        <v>-340.21208000000001</v>
      </c>
      <c r="N145" s="239">
        <f t="shared" si="16"/>
        <v>58732522.892797023</v>
      </c>
      <c r="Q145" s="44"/>
      <c r="R145" s="44"/>
      <c r="S145" s="44"/>
      <c r="T145" s="44"/>
      <c r="U145" s="39"/>
      <c r="AE145" s="40"/>
      <c r="AF145" s="7"/>
      <c r="AG145" s="7"/>
      <c r="AH145" s="7"/>
      <c r="AI145" s="9"/>
      <c r="AJ145" s="9"/>
      <c r="AK145" s="9"/>
    </row>
    <row r="146" spans="1:37" x14ac:dyDescent="0.35">
      <c r="A146" s="34">
        <v>425</v>
      </c>
      <c r="B146" s="34" t="s">
        <v>188</v>
      </c>
      <c r="C146" s="35">
        <f>Bestämningsfaktor_kommunvis!C136</f>
        <v>17</v>
      </c>
      <c r="D146" s="36">
        <v>-24065</v>
      </c>
      <c r="E146" s="36">
        <v>-156</v>
      </c>
      <c r="F146" s="36">
        <f t="shared" si="13"/>
        <v>23909</v>
      </c>
      <c r="G146" s="36">
        <v>-26338</v>
      </c>
      <c r="H146" s="36">
        <v>-135</v>
      </c>
      <c r="I146" s="36">
        <f t="shared" si="14"/>
        <v>26203</v>
      </c>
      <c r="J146" s="37">
        <f t="shared" si="12"/>
        <v>25056</v>
      </c>
      <c r="K146" s="38">
        <f t="shared" si="15"/>
        <v>1.3439302649518076E-3</v>
      </c>
      <c r="L146" s="37">
        <f>'Social- och hälsovårdskostnader'!$K146*$L$14</f>
        <v>26598.255941028838</v>
      </c>
      <c r="M146" s="36">
        <v>-235.41761</v>
      </c>
      <c r="N146" s="239">
        <f t="shared" si="16"/>
        <v>26362838.331028838</v>
      </c>
      <c r="Q146" s="44"/>
      <c r="R146" s="44"/>
      <c r="S146" s="44"/>
      <c r="T146" s="44"/>
      <c r="U146" s="39"/>
      <c r="AE146" s="40"/>
      <c r="AF146" s="7"/>
      <c r="AG146" s="7"/>
      <c r="AH146" s="7"/>
      <c r="AI146" s="9"/>
      <c r="AJ146" s="9"/>
      <c r="AK146" s="9"/>
    </row>
    <row r="147" spans="1:37" x14ac:dyDescent="0.35">
      <c r="A147" s="34">
        <v>426</v>
      </c>
      <c r="B147" s="34" t="s">
        <v>189</v>
      </c>
      <c r="C147" s="35">
        <f>Bestämningsfaktor_kommunvis!C137</f>
        <v>12</v>
      </c>
      <c r="D147" s="36">
        <v>-39472</v>
      </c>
      <c r="E147" s="36">
        <v>-343</v>
      </c>
      <c r="F147" s="36">
        <f t="shared" si="13"/>
        <v>39129</v>
      </c>
      <c r="G147" s="36">
        <v>-40197</v>
      </c>
      <c r="H147" s="36">
        <v>-355</v>
      </c>
      <c r="I147" s="36">
        <f t="shared" si="14"/>
        <v>39842</v>
      </c>
      <c r="J147" s="37">
        <f t="shared" si="12"/>
        <v>39485.5</v>
      </c>
      <c r="K147" s="38">
        <f t="shared" si="15"/>
        <v>2.117886273816834E-3</v>
      </c>
      <c r="L147" s="37">
        <f>'Social- och hälsovårdskostnader'!$K147*$L$14</f>
        <v>41915.925724756307</v>
      </c>
      <c r="M147" s="36">
        <v>-953.0363000000001</v>
      </c>
      <c r="N147" s="239">
        <f t="shared" si="16"/>
        <v>40962889.424756311</v>
      </c>
      <c r="Q147" s="44"/>
      <c r="R147" s="44"/>
      <c r="S147" s="44"/>
      <c r="T147" s="44"/>
      <c r="U147" s="39"/>
      <c r="AE147" s="40"/>
      <c r="AF147" s="7"/>
      <c r="AG147" s="7"/>
      <c r="AH147" s="7"/>
      <c r="AI147" s="9"/>
      <c r="AJ147" s="9"/>
      <c r="AK147" s="9"/>
    </row>
    <row r="148" spans="1:37" x14ac:dyDescent="0.35">
      <c r="A148" s="34">
        <v>430</v>
      </c>
      <c r="B148" s="34" t="s">
        <v>190</v>
      </c>
      <c r="C148" s="35">
        <f>Bestämningsfaktor_kommunvis!C138</f>
        <v>2</v>
      </c>
      <c r="D148" s="36">
        <v>-66077</v>
      </c>
      <c r="E148" s="36">
        <v>-155</v>
      </c>
      <c r="F148" s="36">
        <f t="shared" si="13"/>
        <v>65922</v>
      </c>
      <c r="G148" s="36">
        <v>-65329</v>
      </c>
      <c r="H148" s="36">
        <v>-151</v>
      </c>
      <c r="I148" s="36">
        <f t="shared" si="14"/>
        <v>65178</v>
      </c>
      <c r="J148" s="37">
        <f t="shared" si="12"/>
        <v>65550</v>
      </c>
      <c r="K148" s="38">
        <f t="shared" si="15"/>
        <v>3.5159095173846974E-3</v>
      </c>
      <c r="L148" s="37">
        <f>'Social- och hälsovårdskostnader'!$K148*$L$14</f>
        <v>69584.757221202119</v>
      </c>
      <c r="M148" s="36">
        <v>-824.62347</v>
      </c>
      <c r="N148" s="239">
        <f t="shared" si="16"/>
        <v>68760133.751202106</v>
      </c>
      <c r="Q148" s="44"/>
      <c r="R148" s="44"/>
      <c r="S148" s="44"/>
      <c r="T148" s="44"/>
      <c r="U148" s="39"/>
      <c r="AE148" s="40"/>
      <c r="AF148" s="7"/>
      <c r="AG148" s="7"/>
      <c r="AH148" s="7"/>
      <c r="AI148" s="9"/>
      <c r="AJ148" s="9"/>
      <c r="AK148" s="9"/>
    </row>
    <row r="149" spans="1:37" x14ac:dyDescent="0.35">
      <c r="A149" s="34">
        <v>433</v>
      </c>
      <c r="B149" s="34" t="s">
        <v>191</v>
      </c>
      <c r="C149" s="35">
        <f>Bestämningsfaktor_kommunvis!C139</f>
        <v>5</v>
      </c>
      <c r="D149" s="36">
        <v>-25712</v>
      </c>
      <c r="E149" s="36">
        <v>-97</v>
      </c>
      <c r="F149" s="36">
        <f t="shared" si="13"/>
        <v>25615</v>
      </c>
      <c r="G149" s="36">
        <v>-25337</v>
      </c>
      <c r="H149" s="36">
        <v>-93</v>
      </c>
      <c r="I149" s="36">
        <f t="shared" si="14"/>
        <v>25244</v>
      </c>
      <c r="J149" s="37">
        <f t="shared" si="12"/>
        <v>25429.5</v>
      </c>
      <c r="K149" s="38">
        <f t="shared" si="15"/>
        <v>1.3639637081973176E-3</v>
      </c>
      <c r="L149" s="37">
        <f>'Social- och hälsovårdskostnader'!$K149*$L$14</f>
        <v>26994.74574762104</v>
      </c>
      <c r="M149" s="36">
        <v>-30.641269999999999</v>
      </c>
      <c r="N149" s="239">
        <f t="shared" si="16"/>
        <v>26964104.477621041</v>
      </c>
      <c r="Q149" s="44"/>
      <c r="R149" s="44"/>
      <c r="S149" s="44"/>
      <c r="T149" s="44"/>
      <c r="U149" s="39"/>
      <c r="AE149" s="40"/>
      <c r="AF149" s="7"/>
      <c r="AG149" s="7"/>
      <c r="AH149" s="7"/>
      <c r="AI149" s="9"/>
      <c r="AJ149" s="9"/>
      <c r="AK149" s="9"/>
    </row>
    <row r="150" spans="1:37" x14ac:dyDescent="0.35">
      <c r="A150" s="34">
        <v>434</v>
      </c>
      <c r="B150" s="34" t="s">
        <v>192</v>
      </c>
      <c r="C150" s="35">
        <f>Bestämningsfaktor_kommunvis!C140</f>
        <v>34</v>
      </c>
      <c r="D150" s="36">
        <v>-51497</v>
      </c>
      <c r="E150" s="36">
        <v>-299</v>
      </c>
      <c r="F150" s="36">
        <f t="shared" si="13"/>
        <v>51198</v>
      </c>
      <c r="G150" s="36">
        <v>-52809</v>
      </c>
      <c r="H150" s="36">
        <v>-235</v>
      </c>
      <c r="I150" s="36">
        <f t="shared" si="14"/>
        <v>52574</v>
      </c>
      <c r="J150" s="37">
        <f t="shared" si="12"/>
        <v>51886</v>
      </c>
      <c r="K150" s="38">
        <f t="shared" si="15"/>
        <v>2.7830126806868407E-3</v>
      </c>
      <c r="L150" s="37">
        <f>'Social- och hälsovårdskostnader'!$K150*$L$14</f>
        <v>55079.705769325599</v>
      </c>
      <c r="M150" s="36">
        <v>-1184.2673400000001</v>
      </c>
      <c r="N150" s="239">
        <f t="shared" si="16"/>
        <v>53895438.429325603</v>
      </c>
      <c r="Q150" s="44"/>
      <c r="R150" s="44"/>
      <c r="S150" s="44"/>
      <c r="T150" s="44"/>
      <c r="U150" s="39"/>
      <c r="AE150" s="40"/>
      <c r="AF150" s="7"/>
      <c r="AG150" s="7"/>
      <c r="AH150" s="7"/>
      <c r="AI150" s="9"/>
      <c r="AJ150" s="9"/>
      <c r="AK150" s="9"/>
    </row>
    <row r="151" spans="1:37" x14ac:dyDescent="0.35">
      <c r="A151" s="34">
        <v>435</v>
      </c>
      <c r="B151" s="34" t="s">
        <v>193</v>
      </c>
      <c r="C151" s="35">
        <f>Bestämningsfaktor_kommunvis!C141</f>
        <v>13</v>
      </c>
      <c r="D151" s="36">
        <v>-3135</v>
      </c>
      <c r="E151" s="36">
        <v>-43</v>
      </c>
      <c r="F151" s="36">
        <f t="shared" si="13"/>
        <v>3092</v>
      </c>
      <c r="G151" s="36">
        <v>-3479</v>
      </c>
      <c r="H151" s="36">
        <v>-37</v>
      </c>
      <c r="I151" s="36">
        <f t="shared" si="14"/>
        <v>3442</v>
      </c>
      <c r="J151" s="37">
        <f t="shared" si="12"/>
        <v>3267</v>
      </c>
      <c r="K151" s="38">
        <f t="shared" si="15"/>
        <v>1.7523228670169043E-4</v>
      </c>
      <c r="L151" s="37">
        <f>'Social- och hälsovårdskostnader'!$K151*$L$14</f>
        <v>3468.0915612763897</v>
      </c>
      <c r="M151" s="36">
        <v>-39.632940000000005</v>
      </c>
      <c r="N151" s="239">
        <f t="shared" si="16"/>
        <v>3428458.6212763898</v>
      </c>
      <c r="Q151" s="44"/>
      <c r="R151" s="44"/>
      <c r="S151" s="44"/>
      <c r="T151" s="44"/>
      <c r="U151" s="39"/>
      <c r="AE151" s="40"/>
      <c r="AF151" s="7"/>
      <c r="AG151" s="7"/>
      <c r="AH151" s="7"/>
      <c r="AI151" s="9"/>
      <c r="AJ151" s="9"/>
      <c r="AK151" s="9"/>
    </row>
    <row r="152" spans="1:37" x14ac:dyDescent="0.35">
      <c r="A152" s="34">
        <v>436</v>
      </c>
      <c r="B152" s="34" t="s">
        <v>194</v>
      </c>
      <c r="C152" s="35">
        <f>Bestämningsfaktor_kommunvis!C142</f>
        <v>17</v>
      </c>
      <c r="D152" s="36">
        <v>-6053</v>
      </c>
      <c r="E152" s="36">
        <v>-74</v>
      </c>
      <c r="F152" s="36">
        <f t="shared" si="13"/>
        <v>5979</v>
      </c>
      <c r="G152" s="36">
        <v>-5863</v>
      </c>
      <c r="H152" s="36">
        <v>-59</v>
      </c>
      <c r="I152" s="36">
        <f t="shared" si="14"/>
        <v>5804</v>
      </c>
      <c r="J152" s="37">
        <f t="shared" si="12"/>
        <v>5891.5</v>
      </c>
      <c r="K152" s="38">
        <f t="shared" si="15"/>
        <v>3.1600276005601749E-4</v>
      </c>
      <c r="L152" s="37">
        <f>'Social- och hälsovårdskostnader'!$K152*$L$14</f>
        <v>6254.1357310253588</v>
      </c>
      <c r="M152" s="36">
        <v>-84.400559999999999</v>
      </c>
      <c r="N152" s="239">
        <f t="shared" si="16"/>
        <v>6169735.1710253591</v>
      </c>
      <c r="Q152" s="44"/>
      <c r="R152" s="44"/>
      <c r="S152" s="44"/>
      <c r="T152" s="44"/>
      <c r="U152" s="39"/>
      <c r="AE152" s="40"/>
      <c r="AF152" s="7"/>
      <c r="AG152" s="7"/>
      <c r="AH152" s="7"/>
      <c r="AI152" s="9"/>
      <c r="AJ152" s="9"/>
      <c r="AK152" s="9"/>
    </row>
    <row r="153" spans="1:37" x14ac:dyDescent="0.35">
      <c r="A153" s="34">
        <v>440</v>
      </c>
      <c r="B153" s="34" t="s">
        <v>195</v>
      </c>
      <c r="C153" s="35">
        <f>Bestämningsfaktor_kommunvis!C143</f>
        <v>15</v>
      </c>
      <c r="D153" s="36">
        <v>-14018</v>
      </c>
      <c r="E153" s="36">
        <v>-78</v>
      </c>
      <c r="F153" s="36">
        <f t="shared" si="13"/>
        <v>13940</v>
      </c>
      <c r="G153" s="36">
        <v>-15280</v>
      </c>
      <c r="H153" s="36">
        <v>-85</v>
      </c>
      <c r="I153" s="36">
        <f t="shared" si="14"/>
        <v>15195</v>
      </c>
      <c r="J153" s="37">
        <f t="shared" si="12"/>
        <v>14567.5</v>
      </c>
      <c r="K153" s="38">
        <f t="shared" si="15"/>
        <v>7.8135792363846811E-4</v>
      </c>
      <c r="L153" s="37">
        <f>'Social- och hälsovårdskostnader'!$K153*$L$14</f>
        <v>15464.164009456323</v>
      </c>
      <c r="M153" s="36">
        <v>-10.258190000000001</v>
      </c>
      <c r="N153" s="239">
        <f t="shared" si="16"/>
        <v>15453905.819456322</v>
      </c>
      <c r="Q153" s="44"/>
      <c r="R153" s="44"/>
      <c r="S153" s="44"/>
      <c r="T153" s="44"/>
      <c r="U153" s="39"/>
      <c r="AE153" s="40"/>
      <c r="AF153" s="7"/>
      <c r="AG153" s="7"/>
      <c r="AH153" s="7"/>
      <c r="AI153" s="9"/>
      <c r="AJ153" s="9"/>
      <c r="AK153" s="9"/>
    </row>
    <row r="154" spans="1:37" x14ac:dyDescent="0.35">
      <c r="A154" s="34">
        <v>441</v>
      </c>
      <c r="B154" s="34" t="s">
        <v>196</v>
      </c>
      <c r="C154" s="35">
        <f>Bestämningsfaktor_kommunvis!C144</f>
        <v>9</v>
      </c>
      <c r="D154" s="36">
        <v>-19563</v>
      </c>
      <c r="E154" s="36">
        <v>-153</v>
      </c>
      <c r="F154" s="36">
        <f t="shared" si="13"/>
        <v>19410</v>
      </c>
      <c r="G154" s="36">
        <v>-19820</v>
      </c>
      <c r="H154" s="36">
        <v>-152</v>
      </c>
      <c r="I154" s="36">
        <f t="shared" si="14"/>
        <v>19668</v>
      </c>
      <c r="J154" s="37">
        <f t="shared" si="12"/>
        <v>19539</v>
      </c>
      <c r="K154" s="38">
        <f t="shared" si="15"/>
        <v>1.0480145852048758E-3</v>
      </c>
      <c r="L154" s="37">
        <f>'Social- och hälsovårdskostnader'!$K154*$L$14</f>
        <v>20741.671568956037</v>
      </c>
      <c r="M154" s="36">
        <v>-176.65829000000002</v>
      </c>
      <c r="N154" s="239">
        <f t="shared" si="16"/>
        <v>20565013.278956037</v>
      </c>
      <c r="Q154" s="44"/>
      <c r="R154" s="44"/>
      <c r="S154" s="44"/>
      <c r="T154" s="44"/>
      <c r="U154" s="39"/>
      <c r="AE154" s="40"/>
      <c r="AF154" s="7"/>
      <c r="AG154" s="7"/>
      <c r="AH154" s="7"/>
      <c r="AI154" s="9"/>
      <c r="AJ154" s="9"/>
      <c r="AK154" s="9"/>
    </row>
    <row r="155" spans="1:37" x14ac:dyDescent="0.35">
      <c r="A155" s="34">
        <v>444</v>
      </c>
      <c r="B155" s="34" t="s">
        <v>197</v>
      </c>
      <c r="C155" s="35">
        <f>Bestämningsfaktor_kommunvis!C145</f>
        <v>33</v>
      </c>
      <c r="D155" s="36">
        <v>-154588</v>
      </c>
      <c r="E155" s="36">
        <v>-375</v>
      </c>
      <c r="F155" s="36">
        <f t="shared" si="13"/>
        <v>154213</v>
      </c>
      <c r="G155" s="36">
        <v>-157500</v>
      </c>
      <c r="H155" s="36">
        <v>-419</v>
      </c>
      <c r="I155" s="36">
        <f t="shared" si="14"/>
        <v>157081</v>
      </c>
      <c r="J155" s="37">
        <f t="shared" si="12"/>
        <v>155647</v>
      </c>
      <c r="K155" s="38">
        <f t="shared" si="15"/>
        <v>8.3484480343611906E-3</v>
      </c>
      <c r="L155" s="37">
        <f>'Social- och hälsovårdskostnader'!$K155*$L$14</f>
        <v>165227.44023201292</v>
      </c>
      <c r="M155" s="36">
        <v>-2699.8249300000002</v>
      </c>
      <c r="N155" s="239">
        <f t="shared" si="16"/>
        <v>162527615.30201292</v>
      </c>
      <c r="Q155" s="44"/>
      <c r="R155" s="44"/>
      <c r="S155" s="44"/>
      <c r="T155" s="44"/>
      <c r="U155" s="39"/>
      <c r="AE155" s="40"/>
      <c r="AF155" s="7"/>
      <c r="AG155" s="7"/>
      <c r="AH155" s="7"/>
      <c r="AI155" s="9"/>
      <c r="AJ155" s="9"/>
      <c r="AK155" s="9"/>
    </row>
    <row r="156" spans="1:37" x14ac:dyDescent="0.35">
      <c r="A156" s="34">
        <v>445</v>
      </c>
      <c r="B156" s="34" t="s">
        <v>198</v>
      </c>
      <c r="C156" s="35">
        <f>Bestämningsfaktor_kommunvis!C146</f>
        <v>2</v>
      </c>
      <c r="D156" s="36">
        <v>-54612</v>
      </c>
      <c r="E156" s="36">
        <v>-186</v>
      </c>
      <c r="F156" s="36">
        <f t="shared" si="13"/>
        <v>54426</v>
      </c>
      <c r="G156" s="36">
        <v>-58769</v>
      </c>
      <c r="H156" s="36">
        <v>-181</v>
      </c>
      <c r="I156" s="36">
        <f t="shared" si="14"/>
        <v>58588</v>
      </c>
      <c r="J156" s="37">
        <f t="shared" si="12"/>
        <v>56507</v>
      </c>
      <c r="K156" s="38">
        <f t="shared" si="15"/>
        <v>3.0308695514699789E-3</v>
      </c>
      <c r="L156" s="37">
        <f>'Social- och hälsovårdskostnader'!$K156*$L$14</f>
        <v>59985.139226521256</v>
      </c>
      <c r="M156" s="36">
        <v>-316.72393</v>
      </c>
      <c r="N156" s="239">
        <f t="shared" si="16"/>
        <v>59668415.296521254</v>
      </c>
      <c r="Q156" s="44"/>
      <c r="R156" s="44"/>
      <c r="S156" s="44"/>
      <c r="T156" s="44"/>
      <c r="U156" s="39"/>
      <c r="AE156" s="40"/>
      <c r="AF156" s="7"/>
      <c r="AG156" s="7"/>
      <c r="AH156" s="7"/>
      <c r="AI156" s="9"/>
      <c r="AJ156" s="9"/>
      <c r="AK156" s="9"/>
    </row>
    <row r="157" spans="1:37" x14ac:dyDescent="0.35">
      <c r="A157" s="34">
        <v>475</v>
      </c>
      <c r="B157" s="34" t="s">
        <v>199</v>
      </c>
      <c r="C157" s="35">
        <f>Bestämningsfaktor_kommunvis!C147</f>
        <v>15</v>
      </c>
      <c r="D157" s="36">
        <v>-21212</v>
      </c>
      <c r="E157" s="36">
        <v>-111</v>
      </c>
      <c r="F157" s="36">
        <f t="shared" si="13"/>
        <v>21101</v>
      </c>
      <c r="G157" s="36">
        <v>-21831</v>
      </c>
      <c r="H157" s="36">
        <v>-121</v>
      </c>
      <c r="I157" s="36">
        <f t="shared" si="14"/>
        <v>21710</v>
      </c>
      <c r="J157" s="37">
        <f t="shared" si="12"/>
        <v>21405.5</v>
      </c>
      <c r="K157" s="38">
        <f t="shared" si="15"/>
        <v>1.1481281643688503E-3</v>
      </c>
      <c r="L157" s="37">
        <f>'Social- och hälsovårdskostnader'!$K157*$L$14</f>
        <v>22723.059049556701</v>
      </c>
      <c r="M157" s="36">
        <v>-107.09369000000001</v>
      </c>
      <c r="N157" s="239">
        <f t="shared" si="16"/>
        <v>22615965.359556701</v>
      </c>
      <c r="Q157" s="44"/>
      <c r="R157" s="44"/>
      <c r="S157" s="44"/>
      <c r="T157" s="44"/>
      <c r="U157" s="39"/>
      <c r="AE157" s="40"/>
      <c r="AF157" s="7"/>
      <c r="AG157" s="7"/>
      <c r="AH157" s="7"/>
      <c r="AI157" s="9"/>
      <c r="AJ157" s="9"/>
      <c r="AK157" s="9"/>
    </row>
    <row r="158" spans="1:37" x14ac:dyDescent="0.35">
      <c r="A158" s="34">
        <v>480</v>
      </c>
      <c r="B158" s="34" t="s">
        <v>200</v>
      </c>
      <c r="C158" s="35">
        <f>Bestämningsfaktor_kommunvis!C148</f>
        <v>2</v>
      </c>
      <c r="D158" s="36">
        <v>-6631</v>
      </c>
      <c r="E158" s="36">
        <v>-52</v>
      </c>
      <c r="F158" s="36">
        <f t="shared" si="13"/>
        <v>6579</v>
      </c>
      <c r="G158" s="36">
        <v>-6771</v>
      </c>
      <c r="H158" s="36">
        <v>-53</v>
      </c>
      <c r="I158" s="36">
        <f t="shared" si="14"/>
        <v>6718</v>
      </c>
      <c r="J158" s="37">
        <f t="shared" si="12"/>
        <v>6648.5</v>
      </c>
      <c r="K158" s="38">
        <f t="shared" si="15"/>
        <v>3.5660601718279423E-4</v>
      </c>
      <c r="L158" s="37">
        <f>'Social- och hälsovårdskostnader'!$K158*$L$14</f>
        <v>7057.7308678133068</v>
      </c>
      <c r="M158" s="36">
        <v>-70.643940000000001</v>
      </c>
      <c r="N158" s="239">
        <f t="shared" si="16"/>
        <v>6987086.9278133065</v>
      </c>
      <c r="Q158" s="44"/>
      <c r="R158" s="44"/>
      <c r="S158" s="44"/>
      <c r="T158" s="44"/>
      <c r="U158" s="39"/>
      <c r="AE158" s="40"/>
      <c r="AF158" s="7"/>
      <c r="AG158" s="7"/>
      <c r="AH158" s="7"/>
      <c r="AI158" s="9"/>
      <c r="AJ158" s="9"/>
      <c r="AK158" s="9"/>
    </row>
    <row r="159" spans="1:37" x14ac:dyDescent="0.35">
      <c r="A159" s="34">
        <v>481</v>
      </c>
      <c r="B159" s="34" t="s">
        <v>201</v>
      </c>
      <c r="C159" s="35">
        <f>Bestämningsfaktor_kommunvis!C149</f>
        <v>2</v>
      </c>
      <c r="D159" s="36">
        <v>-26372</v>
      </c>
      <c r="E159" s="36">
        <v>-110</v>
      </c>
      <c r="F159" s="36">
        <f t="shared" si="13"/>
        <v>26262</v>
      </c>
      <c r="G159" s="36">
        <v>-26173</v>
      </c>
      <c r="H159" s="36">
        <v>-114</v>
      </c>
      <c r="I159" s="36">
        <f t="shared" si="14"/>
        <v>26059</v>
      </c>
      <c r="J159" s="37">
        <f t="shared" si="12"/>
        <v>26160.5</v>
      </c>
      <c r="K159" s="38">
        <f t="shared" si="15"/>
        <v>1.4031724016711272E-3</v>
      </c>
      <c r="L159" s="37">
        <f>'Social- och hälsovårdskostnader'!$K159*$L$14</f>
        <v>27770.740523039789</v>
      </c>
      <c r="M159" s="36">
        <v>-205.27991</v>
      </c>
      <c r="N159" s="239">
        <f t="shared" si="16"/>
        <v>27565460.613039788</v>
      </c>
      <c r="Q159" s="44"/>
      <c r="R159" s="44"/>
      <c r="S159" s="44"/>
      <c r="T159" s="44"/>
      <c r="U159" s="39"/>
      <c r="AE159" s="40"/>
      <c r="AF159" s="7"/>
      <c r="AG159" s="7"/>
      <c r="AH159" s="7"/>
      <c r="AI159" s="9"/>
      <c r="AJ159" s="9"/>
      <c r="AK159" s="9"/>
    </row>
    <row r="160" spans="1:37" x14ac:dyDescent="0.35">
      <c r="A160" s="34">
        <v>483</v>
      </c>
      <c r="B160" s="34" t="s">
        <v>202</v>
      </c>
      <c r="C160" s="35">
        <f>Bestämningsfaktor_kommunvis!C150</f>
        <v>17</v>
      </c>
      <c r="D160" s="36">
        <v>-3786</v>
      </c>
      <c r="E160" s="36">
        <v>-22</v>
      </c>
      <c r="F160" s="36">
        <f t="shared" si="13"/>
        <v>3764</v>
      </c>
      <c r="G160" s="36">
        <v>-4434</v>
      </c>
      <c r="H160" s="36">
        <v>-23</v>
      </c>
      <c r="I160" s="36">
        <f t="shared" si="14"/>
        <v>4411</v>
      </c>
      <c r="J160" s="37">
        <f t="shared" si="12"/>
        <v>4087.5</v>
      </c>
      <c r="K160" s="38">
        <f t="shared" si="15"/>
        <v>2.1924149736552177E-4</v>
      </c>
      <c r="L160" s="37">
        <f>'Social- och hälsovårdskostnader'!$K160*$L$14</f>
        <v>4339.0952729468145</v>
      </c>
      <c r="M160" s="36">
        <v>-23.395240000000001</v>
      </c>
      <c r="N160" s="239">
        <f t="shared" si="16"/>
        <v>4315700.0329468148</v>
      </c>
      <c r="Q160" s="44"/>
      <c r="R160" s="44"/>
      <c r="S160" s="44"/>
      <c r="T160" s="44"/>
      <c r="U160" s="39"/>
      <c r="AE160" s="40"/>
      <c r="AF160" s="7"/>
      <c r="AG160" s="7"/>
      <c r="AH160" s="7"/>
      <c r="AI160" s="9"/>
      <c r="AJ160" s="9"/>
      <c r="AK160" s="9"/>
    </row>
    <row r="161" spans="1:37" x14ac:dyDescent="0.35">
      <c r="A161" s="34">
        <v>484</v>
      </c>
      <c r="B161" s="34" t="s">
        <v>203</v>
      </c>
      <c r="C161" s="35">
        <f>Bestämningsfaktor_kommunvis!C151</f>
        <v>4</v>
      </c>
      <c r="D161" s="36">
        <v>-13843</v>
      </c>
      <c r="E161" s="36">
        <v>-97</v>
      </c>
      <c r="F161" s="36">
        <f t="shared" si="13"/>
        <v>13746</v>
      </c>
      <c r="G161" s="36">
        <v>-14353</v>
      </c>
      <c r="H161" s="36">
        <v>-92</v>
      </c>
      <c r="I161" s="36">
        <f t="shared" si="14"/>
        <v>14261</v>
      </c>
      <c r="J161" s="37">
        <f t="shared" si="12"/>
        <v>14003.5</v>
      </c>
      <c r="K161" s="38">
        <f t="shared" si="15"/>
        <v>7.5110661978179422E-4</v>
      </c>
      <c r="L161" s="37">
        <f>'Social- och hälsovårdskostnader'!$K161*$L$14</f>
        <v>14865.448478216687</v>
      </c>
      <c r="M161" s="36">
        <v>-122.55299000000001</v>
      </c>
      <c r="N161" s="239">
        <f t="shared" si="16"/>
        <v>14742895.488216687</v>
      </c>
      <c r="Q161" s="44"/>
      <c r="R161" s="44"/>
      <c r="S161" s="44"/>
      <c r="T161" s="44"/>
      <c r="U161" s="39"/>
      <c r="AE161" s="40"/>
      <c r="AF161" s="7"/>
      <c r="AG161" s="7"/>
      <c r="AH161" s="7"/>
      <c r="AI161" s="9"/>
      <c r="AJ161" s="9"/>
      <c r="AK161" s="9"/>
    </row>
    <row r="162" spans="1:37" x14ac:dyDescent="0.35">
      <c r="A162" s="34">
        <v>489</v>
      </c>
      <c r="B162" s="34" t="s">
        <v>204</v>
      </c>
      <c r="C162" s="35">
        <f>Bestämningsfaktor_kommunvis!C152</f>
        <v>8</v>
      </c>
      <c r="D162" s="36">
        <v>-7715</v>
      </c>
      <c r="E162" s="36">
        <v>-230</v>
      </c>
      <c r="F162" s="36">
        <f t="shared" si="13"/>
        <v>7485</v>
      </c>
      <c r="G162" s="36">
        <v>-7671</v>
      </c>
      <c r="H162" s="36">
        <v>-84</v>
      </c>
      <c r="I162" s="36">
        <f t="shared" si="14"/>
        <v>7587</v>
      </c>
      <c r="J162" s="37">
        <f t="shared" si="12"/>
        <v>7536</v>
      </c>
      <c r="K162" s="38">
        <f t="shared" si="15"/>
        <v>4.0420891110619497E-4</v>
      </c>
      <c r="L162" s="37">
        <f>'Social- och hälsovårdskostnader'!$K162*$L$14</f>
        <v>7999.8585876274465</v>
      </c>
      <c r="M162" s="36">
        <v>-130.0838</v>
      </c>
      <c r="N162" s="239">
        <f t="shared" si="16"/>
        <v>7869774.7876274465</v>
      </c>
      <c r="Q162" s="44"/>
      <c r="R162" s="44"/>
      <c r="S162" s="44"/>
      <c r="T162" s="44"/>
      <c r="U162" s="39"/>
      <c r="AE162" s="40"/>
      <c r="AF162" s="7"/>
      <c r="AG162" s="7"/>
      <c r="AH162" s="7"/>
      <c r="AI162" s="9"/>
      <c r="AJ162" s="9"/>
      <c r="AK162" s="9"/>
    </row>
    <row r="163" spans="1:37" x14ac:dyDescent="0.35">
      <c r="A163" s="34">
        <v>491</v>
      </c>
      <c r="B163" s="34" t="s">
        <v>205</v>
      </c>
      <c r="C163" s="35">
        <f>Bestämningsfaktor_kommunvis!C153</f>
        <v>10</v>
      </c>
      <c r="D163" s="36">
        <v>-192714</v>
      </c>
      <c r="E163" s="36">
        <v>-671</v>
      </c>
      <c r="F163" s="36">
        <f t="shared" si="13"/>
        <v>192043</v>
      </c>
      <c r="G163" s="36">
        <v>-207176</v>
      </c>
      <c r="H163" s="36">
        <v>-666</v>
      </c>
      <c r="I163" s="36">
        <f t="shared" si="14"/>
        <v>206510</v>
      </c>
      <c r="J163" s="37">
        <f t="shared" si="12"/>
        <v>199276.5</v>
      </c>
      <c r="K163" s="38">
        <f t="shared" si="15"/>
        <v>1.0688606299635571E-2</v>
      </c>
      <c r="L163" s="37">
        <f>'Social- och hälsovårdskostnader'!$K163*$L$14</f>
        <v>211542.43893807603</v>
      </c>
      <c r="M163" s="36">
        <v>-3370.1648300000002</v>
      </c>
      <c r="N163" s="239">
        <f t="shared" si="16"/>
        <v>208172274.10807604</v>
      </c>
      <c r="Q163" s="44"/>
      <c r="R163" s="44"/>
      <c r="S163" s="44"/>
      <c r="T163" s="44"/>
      <c r="U163" s="39"/>
      <c r="AE163" s="40"/>
      <c r="AF163" s="7"/>
      <c r="AG163" s="7"/>
      <c r="AH163" s="7"/>
      <c r="AI163" s="9"/>
      <c r="AJ163" s="9"/>
      <c r="AK163" s="9"/>
    </row>
    <row r="164" spans="1:37" x14ac:dyDescent="0.35">
      <c r="A164" s="34">
        <v>494</v>
      </c>
      <c r="B164" s="34" t="s">
        <v>206</v>
      </c>
      <c r="C164" s="35">
        <f>Bestämningsfaktor_kommunvis!C154</f>
        <v>17</v>
      </c>
      <c r="D164" s="36">
        <v>-32958</v>
      </c>
      <c r="E164" s="36">
        <v>-186</v>
      </c>
      <c r="F164" s="36">
        <f t="shared" si="13"/>
        <v>32772</v>
      </c>
      <c r="G164" s="36">
        <v>-32839</v>
      </c>
      <c r="H164" s="36">
        <v>-162</v>
      </c>
      <c r="I164" s="36">
        <f t="shared" si="14"/>
        <v>32677</v>
      </c>
      <c r="J164" s="37">
        <f t="shared" si="12"/>
        <v>32724.5</v>
      </c>
      <c r="K164" s="38">
        <f t="shared" si="15"/>
        <v>1.7552460869817777E-3</v>
      </c>
      <c r="L164" s="37">
        <f>'Social- och hälsovårdskostnader'!$K164*$L$14</f>
        <v>34738.77021640318</v>
      </c>
      <c r="M164" s="36">
        <v>-496.83717999999999</v>
      </c>
      <c r="N164" s="239">
        <f t="shared" si="16"/>
        <v>34241933.036403179</v>
      </c>
      <c r="Q164" s="44"/>
      <c r="R164" s="44"/>
      <c r="S164" s="44"/>
      <c r="T164" s="44"/>
      <c r="U164" s="39"/>
      <c r="AE164" s="40"/>
      <c r="AF164" s="7"/>
      <c r="AG164" s="7"/>
      <c r="AH164" s="7"/>
      <c r="AI164" s="9"/>
      <c r="AJ164" s="9"/>
      <c r="AK164" s="9"/>
    </row>
    <row r="165" spans="1:37" x14ac:dyDescent="0.35">
      <c r="A165" s="34">
        <v>495</v>
      </c>
      <c r="B165" s="34" t="s">
        <v>207</v>
      </c>
      <c r="C165" s="35">
        <f>Bestämningsfaktor_kommunvis!C155</f>
        <v>13</v>
      </c>
      <c r="D165" s="36">
        <v>-7188</v>
      </c>
      <c r="E165" s="36">
        <v>-46</v>
      </c>
      <c r="F165" s="36">
        <f t="shared" si="13"/>
        <v>7142</v>
      </c>
      <c r="G165" s="36">
        <v>-7514</v>
      </c>
      <c r="H165" s="36">
        <v>-42</v>
      </c>
      <c r="I165" s="36">
        <f t="shared" si="14"/>
        <v>7472</v>
      </c>
      <c r="J165" s="37">
        <f t="shared" si="12"/>
        <v>7307</v>
      </c>
      <c r="K165" s="38">
        <f t="shared" si="15"/>
        <v>3.9192602354736817E-4</v>
      </c>
      <c r="L165" s="37">
        <f>'Social- och hälsovårdskostnader'!$K165*$L$14</f>
        <v>7756.76309710639</v>
      </c>
      <c r="M165" s="36">
        <v>-59.250219999999999</v>
      </c>
      <c r="N165" s="239">
        <f t="shared" si="16"/>
        <v>7697512.87710639</v>
      </c>
      <c r="Q165" s="44"/>
      <c r="R165" s="44"/>
      <c r="S165" s="44"/>
      <c r="T165" s="44"/>
      <c r="U165" s="39"/>
      <c r="AE165" s="40"/>
      <c r="AF165" s="7"/>
      <c r="AG165" s="7"/>
      <c r="AH165" s="7"/>
      <c r="AI165" s="9"/>
      <c r="AJ165" s="9"/>
      <c r="AK165" s="9"/>
    </row>
    <row r="166" spans="1:37" x14ac:dyDescent="0.35">
      <c r="A166" s="34">
        <v>498</v>
      </c>
      <c r="B166" s="34" t="s">
        <v>208</v>
      </c>
      <c r="C166" s="35">
        <f>Bestämningsfaktor_kommunvis!C156</f>
        <v>19</v>
      </c>
      <c r="D166" s="36">
        <v>-10074</v>
      </c>
      <c r="E166" s="36">
        <v>-134</v>
      </c>
      <c r="F166" s="36">
        <f t="shared" si="13"/>
        <v>9940</v>
      </c>
      <c r="G166" s="36">
        <v>-10597</v>
      </c>
      <c r="H166" s="36">
        <v>-144</v>
      </c>
      <c r="I166" s="36">
        <f t="shared" si="14"/>
        <v>10453</v>
      </c>
      <c r="J166" s="37">
        <f t="shared" si="12"/>
        <v>10196.5</v>
      </c>
      <c r="K166" s="38">
        <f t="shared" si="15"/>
        <v>5.4691031874924592E-4</v>
      </c>
      <c r="L166" s="37">
        <f>'Social- och hälsovårdskostnader'!$K166*$L$14</f>
        <v>10824.11864234916</v>
      </c>
      <c r="M166" s="36">
        <v>-33.397820000000003</v>
      </c>
      <c r="N166" s="239">
        <f t="shared" si="16"/>
        <v>10790720.822349159</v>
      </c>
      <c r="Q166" s="44"/>
      <c r="R166" s="44"/>
      <c r="S166" s="44"/>
      <c r="T166" s="44"/>
      <c r="U166" s="39"/>
      <c r="AE166" s="40"/>
      <c r="AF166" s="7"/>
      <c r="AG166" s="7"/>
      <c r="AH166" s="7"/>
      <c r="AI166" s="9"/>
      <c r="AJ166" s="9"/>
      <c r="AK166" s="9"/>
    </row>
    <row r="167" spans="1:37" x14ac:dyDescent="0.35">
      <c r="A167" s="34">
        <v>499</v>
      </c>
      <c r="B167" s="34" t="s">
        <v>209</v>
      </c>
      <c r="C167" s="35">
        <f>Bestämningsfaktor_kommunvis!C157</f>
        <v>15</v>
      </c>
      <c r="D167" s="36">
        <v>-58869</v>
      </c>
      <c r="E167" s="36">
        <v>-368</v>
      </c>
      <c r="F167" s="36">
        <f t="shared" si="13"/>
        <v>58501</v>
      </c>
      <c r="G167" s="36">
        <v>-60602</v>
      </c>
      <c r="H167" s="36">
        <v>-396</v>
      </c>
      <c r="I167" s="36">
        <f t="shared" si="14"/>
        <v>60206</v>
      </c>
      <c r="J167" s="37">
        <f t="shared" si="12"/>
        <v>59353.5</v>
      </c>
      <c r="K167" s="38">
        <f t="shared" si="15"/>
        <v>3.1835474529381029E-3</v>
      </c>
      <c r="L167" s="37">
        <f>'Social- och hälsovårdskostnader'!$K167*$L$14</f>
        <v>63006.848020268801</v>
      </c>
      <c r="M167" s="36">
        <v>-417.18064000000004</v>
      </c>
      <c r="N167" s="239">
        <f t="shared" si="16"/>
        <v>62589667.380268805</v>
      </c>
      <c r="Q167" s="44"/>
      <c r="R167" s="44"/>
      <c r="S167" s="44"/>
      <c r="T167" s="44"/>
      <c r="U167" s="39"/>
      <c r="AE167" s="40"/>
      <c r="AF167" s="7"/>
      <c r="AG167" s="7"/>
      <c r="AH167" s="7"/>
      <c r="AI167" s="9"/>
      <c r="AJ167" s="9"/>
      <c r="AK167" s="9"/>
    </row>
    <row r="168" spans="1:37" x14ac:dyDescent="0.35">
      <c r="A168" s="34">
        <v>500</v>
      </c>
      <c r="B168" s="34" t="s">
        <v>210</v>
      </c>
      <c r="C168" s="35">
        <f>Bestämningsfaktor_kommunvis!C158</f>
        <v>13</v>
      </c>
      <c r="D168" s="36">
        <v>-24447</v>
      </c>
      <c r="E168" s="36">
        <v>-114</v>
      </c>
      <c r="F168" s="36">
        <f t="shared" si="13"/>
        <v>24333</v>
      </c>
      <c r="G168" s="36">
        <v>-25384</v>
      </c>
      <c r="H168" s="36">
        <v>-117</v>
      </c>
      <c r="I168" s="36">
        <f t="shared" si="14"/>
        <v>25267</v>
      </c>
      <c r="J168" s="37">
        <f t="shared" si="12"/>
        <v>24800</v>
      </c>
      <c r="K168" s="38">
        <f t="shared" si="15"/>
        <v>1.3301991766764378E-3</v>
      </c>
      <c r="L168" s="37">
        <f>'Social- och hälsovårdskostnader'!$K168*$L$14</f>
        <v>26326.498536778221</v>
      </c>
      <c r="M168" s="36">
        <v>-415.25011999999998</v>
      </c>
      <c r="N168" s="239">
        <f t="shared" si="16"/>
        <v>25911248.416778222</v>
      </c>
      <c r="Q168" s="44"/>
      <c r="R168" s="44"/>
      <c r="S168" s="44"/>
      <c r="T168" s="44"/>
      <c r="U168" s="39"/>
      <c r="AE168" s="40"/>
      <c r="AF168" s="7"/>
      <c r="AG168" s="7"/>
      <c r="AH168" s="7"/>
      <c r="AI168" s="9"/>
      <c r="AJ168" s="9"/>
      <c r="AK168" s="9"/>
    </row>
    <row r="169" spans="1:37" x14ac:dyDescent="0.35">
      <c r="A169" s="34">
        <v>503</v>
      </c>
      <c r="B169" s="34" t="s">
        <v>211</v>
      </c>
      <c r="C169" s="35">
        <f>Bestämningsfaktor_kommunvis!C159</f>
        <v>2</v>
      </c>
      <c r="D169" s="36">
        <v>-28547</v>
      </c>
      <c r="E169" s="36">
        <v>-146</v>
      </c>
      <c r="F169" s="36">
        <f t="shared" si="13"/>
        <v>28401</v>
      </c>
      <c r="G169" s="36">
        <v>-29841</v>
      </c>
      <c r="H169" s="36">
        <v>-163</v>
      </c>
      <c r="I169" s="36">
        <f t="shared" si="14"/>
        <v>29678</v>
      </c>
      <c r="J169" s="37">
        <f t="shared" si="12"/>
        <v>29039.5</v>
      </c>
      <c r="K169" s="38">
        <f t="shared" si="15"/>
        <v>1.5575935077054603E-3</v>
      </c>
      <c r="L169" s="37">
        <f>'Social- och hälsovårdskostnader'!$K169*$L$14</f>
        <v>30826.949768498838</v>
      </c>
      <c r="M169" s="36">
        <v>-286.37107000000003</v>
      </c>
      <c r="N169" s="239">
        <f t="shared" si="16"/>
        <v>30540578.698498838</v>
      </c>
      <c r="Q169" s="44"/>
      <c r="R169" s="44"/>
      <c r="S169" s="44"/>
      <c r="T169" s="44"/>
      <c r="U169" s="39"/>
      <c r="AE169" s="40"/>
      <c r="AF169" s="7"/>
      <c r="AG169" s="7"/>
      <c r="AH169" s="7"/>
      <c r="AI169" s="9"/>
      <c r="AJ169" s="9"/>
      <c r="AK169" s="9"/>
    </row>
    <row r="170" spans="1:37" x14ac:dyDescent="0.35">
      <c r="A170" s="34">
        <v>504</v>
      </c>
      <c r="B170" s="34" t="s">
        <v>212</v>
      </c>
      <c r="C170" s="35">
        <f>Bestämningsfaktor_kommunvis!C160</f>
        <v>34</v>
      </c>
      <c r="D170" s="36">
        <v>-7081</v>
      </c>
      <c r="E170" s="36">
        <v>-52</v>
      </c>
      <c r="F170" s="36">
        <f t="shared" si="13"/>
        <v>7029</v>
      </c>
      <c r="G170" s="36">
        <v>-7141</v>
      </c>
      <c r="H170" s="36">
        <v>-62</v>
      </c>
      <c r="I170" s="36">
        <f t="shared" si="14"/>
        <v>7079</v>
      </c>
      <c r="J170" s="37">
        <f t="shared" si="12"/>
        <v>7054</v>
      </c>
      <c r="K170" s="38">
        <f t="shared" si="15"/>
        <v>3.7835584646272552E-4</v>
      </c>
      <c r="L170" s="37">
        <f>'Social- och hälsovårdskostnader'!$K170*$L$14</f>
        <v>7488.1903499368382</v>
      </c>
      <c r="M170" s="36">
        <v>-194.89303000000001</v>
      </c>
      <c r="N170" s="239">
        <f t="shared" si="16"/>
        <v>7293297.319936838</v>
      </c>
      <c r="Q170" s="44"/>
      <c r="R170" s="44"/>
      <c r="S170" s="44"/>
      <c r="T170" s="44"/>
      <c r="U170" s="39"/>
      <c r="AE170" s="40"/>
      <c r="AF170" s="7"/>
      <c r="AG170" s="7"/>
      <c r="AH170" s="7"/>
      <c r="AI170" s="9"/>
      <c r="AJ170" s="9"/>
      <c r="AK170" s="9"/>
    </row>
    <row r="171" spans="1:37" x14ac:dyDescent="0.35">
      <c r="A171" s="34">
        <v>505</v>
      </c>
      <c r="B171" s="34" t="s">
        <v>213</v>
      </c>
      <c r="C171" s="35">
        <f>Bestämningsfaktor_kommunvis!C161</f>
        <v>35</v>
      </c>
      <c r="D171" s="36">
        <v>-61465</v>
      </c>
      <c r="E171" s="36">
        <v>-288</v>
      </c>
      <c r="F171" s="36">
        <f t="shared" si="13"/>
        <v>61177</v>
      </c>
      <c r="G171" s="36">
        <v>-67222</v>
      </c>
      <c r="H171" s="36">
        <v>-324</v>
      </c>
      <c r="I171" s="36">
        <f t="shared" si="14"/>
        <v>66898</v>
      </c>
      <c r="J171" s="37">
        <f t="shared" si="12"/>
        <v>64037.5</v>
      </c>
      <c r="K171" s="38">
        <f t="shared" si="15"/>
        <v>3.4347834587265076E-3</v>
      </c>
      <c r="L171" s="37">
        <f>'Social- och hälsovårdskostnader'!$K171*$L$14</f>
        <v>67979.159276166756</v>
      </c>
      <c r="M171" s="36">
        <v>-661.57550000000003</v>
      </c>
      <c r="N171" s="239">
        <f t="shared" si="16"/>
        <v>67317583.776166752</v>
      </c>
      <c r="Q171" s="44"/>
      <c r="R171" s="44"/>
      <c r="S171" s="44"/>
      <c r="T171" s="44"/>
      <c r="U171" s="39"/>
      <c r="AE171" s="40"/>
      <c r="AF171" s="7"/>
      <c r="AG171" s="7"/>
      <c r="AH171" s="7"/>
      <c r="AI171" s="9"/>
      <c r="AJ171" s="9"/>
      <c r="AK171" s="9"/>
    </row>
    <row r="172" spans="1:37" x14ac:dyDescent="0.35">
      <c r="A172" s="34">
        <v>507</v>
      </c>
      <c r="B172" s="34" t="s">
        <v>214</v>
      </c>
      <c r="C172" s="35">
        <f>Bestämningsfaktor_kommunvis!C162</f>
        <v>10</v>
      </c>
      <c r="D172" s="36">
        <v>-25628</v>
      </c>
      <c r="E172" s="36">
        <v>-136</v>
      </c>
      <c r="F172" s="36">
        <f t="shared" si="13"/>
        <v>25492</v>
      </c>
      <c r="G172" s="36">
        <v>-27373</v>
      </c>
      <c r="H172" s="36">
        <v>-128</v>
      </c>
      <c r="I172" s="36">
        <f t="shared" si="14"/>
        <v>27245</v>
      </c>
      <c r="J172" s="37">
        <f t="shared" si="12"/>
        <v>26368.5</v>
      </c>
      <c r="K172" s="38">
        <f t="shared" si="15"/>
        <v>1.414328910894865E-3</v>
      </c>
      <c r="L172" s="37">
        <f>'Social- och hälsovårdskostnader'!$K172*$L$14</f>
        <v>27991.543413993411</v>
      </c>
      <c r="M172" s="36">
        <v>-202.02873000000002</v>
      </c>
      <c r="N172" s="239">
        <f t="shared" si="16"/>
        <v>27789514.68399341</v>
      </c>
      <c r="Q172" s="44"/>
      <c r="R172" s="44"/>
      <c r="S172" s="44"/>
      <c r="T172" s="44"/>
      <c r="U172" s="39"/>
      <c r="AE172" s="40"/>
      <c r="AF172" s="7"/>
      <c r="AG172" s="7"/>
      <c r="AH172" s="7"/>
      <c r="AI172" s="9"/>
      <c r="AJ172" s="9"/>
      <c r="AK172" s="9"/>
    </row>
    <row r="173" spans="1:37" x14ac:dyDescent="0.35">
      <c r="A173" s="34">
        <v>508</v>
      </c>
      <c r="B173" s="34" t="s">
        <v>215</v>
      </c>
      <c r="C173" s="35">
        <f>Bestämningsfaktor_kommunvis!C163</f>
        <v>6</v>
      </c>
      <c r="D173" s="36">
        <v>-42135</v>
      </c>
      <c r="E173" s="36">
        <v>-268</v>
      </c>
      <c r="F173" s="36">
        <f t="shared" si="13"/>
        <v>41867</v>
      </c>
      <c r="G173" s="36">
        <v>-40295</v>
      </c>
      <c r="H173" s="36">
        <v>-214</v>
      </c>
      <c r="I173" s="36">
        <f t="shared" si="14"/>
        <v>40081</v>
      </c>
      <c r="J173" s="37">
        <f t="shared" si="12"/>
        <v>40974</v>
      </c>
      <c r="K173" s="38">
        <f t="shared" si="15"/>
        <v>2.1977250429492082E-3</v>
      </c>
      <c r="L173" s="37">
        <f>'Social- och hälsovårdskostnader'!$K173*$L$14</f>
        <v>43496.04641314318</v>
      </c>
      <c r="M173" s="36">
        <v>-261.59894000000003</v>
      </c>
      <c r="N173" s="239">
        <f t="shared" si="16"/>
        <v>43234447.473143175</v>
      </c>
      <c r="Q173" s="44"/>
      <c r="R173" s="44"/>
      <c r="S173" s="44"/>
      <c r="T173" s="44"/>
      <c r="U173" s="39"/>
      <c r="AE173" s="40"/>
      <c r="AF173" s="7"/>
      <c r="AG173" s="7"/>
      <c r="AH173" s="7"/>
      <c r="AI173" s="9"/>
      <c r="AJ173" s="9"/>
      <c r="AK173" s="9"/>
    </row>
    <row r="174" spans="1:37" x14ac:dyDescent="0.35">
      <c r="A174" s="34">
        <v>529</v>
      </c>
      <c r="B174" s="34" t="s">
        <v>216</v>
      </c>
      <c r="C174" s="35">
        <f>Bestämningsfaktor_kommunvis!C164</f>
        <v>2</v>
      </c>
      <c r="D174" s="36">
        <v>-59852</v>
      </c>
      <c r="E174" s="36">
        <v>-217</v>
      </c>
      <c r="F174" s="36">
        <f t="shared" si="13"/>
        <v>59635</v>
      </c>
      <c r="G174" s="36">
        <v>-62628</v>
      </c>
      <c r="H174" s="36">
        <v>-197</v>
      </c>
      <c r="I174" s="36">
        <f t="shared" si="14"/>
        <v>62431</v>
      </c>
      <c r="J174" s="37">
        <f t="shared" si="12"/>
        <v>61033</v>
      </c>
      <c r="K174" s="38">
        <f t="shared" si="15"/>
        <v>3.2736309012134286E-3</v>
      </c>
      <c r="L174" s="37">
        <f>'Social- och hälsovårdskostnader'!$K174*$L$14</f>
        <v>64789.725209483273</v>
      </c>
      <c r="M174" s="36">
        <v>-499.75660999999997</v>
      </c>
      <c r="N174" s="239">
        <f t="shared" si="16"/>
        <v>64289968.599483274</v>
      </c>
      <c r="Q174" s="44"/>
      <c r="R174" s="44"/>
      <c r="S174" s="44"/>
      <c r="T174" s="44"/>
      <c r="U174" s="39"/>
      <c r="AE174" s="40"/>
      <c r="AF174" s="7"/>
      <c r="AG174" s="7"/>
      <c r="AH174" s="7"/>
      <c r="AI174" s="9"/>
      <c r="AJ174" s="9"/>
      <c r="AK174" s="9"/>
    </row>
    <row r="175" spans="1:37" x14ac:dyDescent="0.35">
      <c r="A175" s="34">
        <v>531</v>
      </c>
      <c r="B175" s="34" t="s">
        <v>217</v>
      </c>
      <c r="C175" s="35">
        <f>Bestämningsfaktor_kommunvis!C165</f>
        <v>4</v>
      </c>
      <c r="D175" s="36">
        <v>-18714</v>
      </c>
      <c r="E175" s="36">
        <v>-92</v>
      </c>
      <c r="F175" s="36">
        <f t="shared" si="13"/>
        <v>18622</v>
      </c>
      <c r="G175" s="36">
        <v>-19443</v>
      </c>
      <c r="H175" s="36">
        <v>-96</v>
      </c>
      <c r="I175" s="36">
        <f t="shared" si="14"/>
        <v>19347</v>
      </c>
      <c r="J175" s="37">
        <f t="shared" si="12"/>
        <v>18984.5</v>
      </c>
      <c r="K175" s="38">
        <f t="shared" si="15"/>
        <v>1.0182728334521707E-3</v>
      </c>
      <c r="L175" s="37">
        <f>'Social- och hälsovårdskostnader'!$K175*$L$14</f>
        <v>20153.040785139765</v>
      </c>
      <c r="M175" s="36">
        <v>-262.63526000000002</v>
      </c>
      <c r="N175" s="239">
        <f t="shared" si="16"/>
        <v>19890405.525139764</v>
      </c>
      <c r="Q175" s="44"/>
      <c r="R175" s="44"/>
      <c r="S175" s="44"/>
      <c r="T175" s="44"/>
      <c r="U175" s="39"/>
      <c r="AE175" s="40"/>
      <c r="AF175" s="7"/>
      <c r="AG175" s="7"/>
      <c r="AH175" s="7"/>
      <c r="AI175" s="9"/>
      <c r="AJ175" s="9"/>
      <c r="AK175" s="9"/>
    </row>
    <row r="176" spans="1:37" x14ac:dyDescent="0.35">
      <c r="A176" s="34">
        <v>535</v>
      </c>
      <c r="B176" s="34" t="s">
        <v>218</v>
      </c>
      <c r="C176" s="35">
        <f>Bestämningsfaktor_kommunvis!C166</f>
        <v>17</v>
      </c>
      <c r="D176" s="36">
        <v>-40874</v>
      </c>
      <c r="E176" s="36">
        <v>-395</v>
      </c>
      <c r="F176" s="36">
        <f t="shared" si="13"/>
        <v>40479</v>
      </c>
      <c r="G176" s="36">
        <v>-42966</v>
      </c>
      <c r="H176" s="36">
        <v>-426</v>
      </c>
      <c r="I176" s="36">
        <f t="shared" si="14"/>
        <v>42540</v>
      </c>
      <c r="J176" s="37">
        <f t="shared" si="12"/>
        <v>41509.5</v>
      </c>
      <c r="K176" s="38">
        <f t="shared" si="15"/>
        <v>2.2264476904939757E-3</v>
      </c>
      <c r="L176" s="37">
        <f>'Social- och hälsovårdskostnader'!$K176*$L$14</f>
        <v>44064.507702112729</v>
      </c>
      <c r="M176" s="36">
        <v>-378.24633</v>
      </c>
      <c r="N176" s="239">
        <f t="shared" si="16"/>
        <v>43686261.372112729</v>
      </c>
      <c r="Q176" s="44"/>
      <c r="R176" s="44"/>
      <c r="S176" s="44"/>
      <c r="T176" s="44"/>
      <c r="U176" s="39"/>
      <c r="AE176" s="40"/>
      <c r="AF176" s="7"/>
      <c r="AG176" s="7"/>
      <c r="AH176" s="7"/>
      <c r="AI176" s="9"/>
      <c r="AJ176" s="9"/>
      <c r="AK176" s="9"/>
    </row>
    <row r="177" spans="1:37" x14ac:dyDescent="0.35">
      <c r="A177" s="34">
        <v>536</v>
      </c>
      <c r="B177" s="34" t="s">
        <v>219</v>
      </c>
      <c r="C177" s="35">
        <f>Bestämningsfaktor_kommunvis!C167</f>
        <v>6</v>
      </c>
      <c r="D177" s="36">
        <v>-94966</v>
      </c>
      <c r="E177" s="36">
        <v>-259</v>
      </c>
      <c r="F177" s="36">
        <f t="shared" si="13"/>
        <v>94707</v>
      </c>
      <c r="G177" s="36">
        <v>-100427</v>
      </c>
      <c r="H177" s="36">
        <v>-257</v>
      </c>
      <c r="I177" s="36">
        <f t="shared" si="14"/>
        <v>100170</v>
      </c>
      <c r="J177" s="37">
        <f t="shared" si="12"/>
        <v>97438.5</v>
      </c>
      <c r="K177" s="38">
        <f t="shared" si="15"/>
        <v>5.2263150192172212E-3</v>
      </c>
      <c r="L177" s="37">
        <f>'Social- och hälsovårdskostnader'!$K177*$L$14</f>
        <v>103436.06966434939</v>
      </c>
      <c r="M177" s="36">
        <v>-1471.66039</v>
      </c>
      <c r="N177" s="239">
        <f t="shared" si="16"/>
        <v>101964409.27434938</v>
      </c>
      <c r="Q177" s="44"/>
      <c r="R177" s="44"/>
      <c r="S177" s="44"/>
      <c r="T177" s="44"/>
      <c r="U177" s="39"/>
      <c r="AE177" s="40"/>
      <c r="AF177" s="7"/>
      <c r="AG177" s="7"/>
      <c r="AH177" s="7"/>
      <c r="AI177" s="9"/>
      <c r="AJ177" s="9"/>
      <c r="AK177" s="9"/>
    </row>
    <row r="178" spans="1:37" x14ac:dyDescent="0.35">
      <c r="A178" s="34">
        <v>538</v>
      </c>
      <c r="B178" s="34" t="s">
        <v>220</v>
      </c>
      <c r="C178" s="35">
        <f>Bestämningsfaktor_kommunvis!C168</f>
        <v>2</v>
      </c>
      <c r="D178" s="36">
        <v>-14136</v>
      </c>
      <c r="E178" s="36">
        <v>-57</v>
      </c>
      <c r="F178" s="36">
        <f t="shared" si="13"/>
        <v>14079</v>
      </c>
      <c r="G178" s="36">
        <v>-14455</v>
      </c>
      <c r="H178" s="36">
        <v>-62</v>
      </c>
      <c r="I178" s="36">
        <f t="shared" si="14"/>
        <v>14393</v>
      </c>
      <c r="J178" s="37">
        <f t="shared" si="12"/>
        <v>14236</v>
      </c>
      <c r="K178" s="38">
        <f t="shared" si="15"/>
        <v>7.6357723706313582E-4</v>
      </c>
      <c r="L178" s="37">
        <f>'Social- och hälsovårdskostnader'!$K178*$L$14</f>
        <v>15112.259401998983</v>
      </c>
      <c r="M178" s="36">
        <v>-92.281940000000006</v>
      </c>
      <c r="N178" s="239">
        <f t="shared" si="16"/>
        <v>15019977.461998982</v>
      </c>
      <c r="Q178" s="44"/>
      <c r="R178" s="44"/>
      <c r="S178" s="44"/>
      <c r="T178" s="44"/>
      <c r="U178" s="39"/>
      <c r="AE178" s="40"/>
      <c r="AF178" s="7"/>
      <c r="AG178" s="7"/>
      <c r="AH178" s="7"/>
      <c r="AI178" s="9"/>
      <c r="AJ178" s="9"/>
      <c r="AK178" s="9"/>
    </row>
    <row r="179" spans="1:37" x14ac:dyDescent="0.35">
      <c r="A179" s="34">
        <v>541</v>
      </c>
      <c r="B179" s="34" t="s">
        <v>221</v>
      </c>
      <c r="C179" s="35">
        <f>Bestämningsfaktor_kommunvis!C169</f>
        <v>12</v>
      </c>
      <c r="D179" s="36">
        <v>-42406</v>
      </c>
      <c r="E179" s="36">
        <v>-373</v>
      </c>
      <c r="F179" s="36">
        <f t="shared" si="13"/>
        <v>42033</v>
      </c>
      <c r="G179" s="36">
        <v>-43777</v>
      </c>
      <c r="H179" s="36">
        <v>-409</v>
      </c>
      <c r="I179" s="36">
        <f t="shared" si="14"/>
        <v>43368</v>
      </c>
      <c r="J179" s="37">
        <f t="shared" si="12"/>
        <v>42700.5</v>
      </c>
      <c r="K179" s="38">
        <f t="shared" si="15"/>
        <v>2.2903294332125902E-3</v>
      </c>
      <c r="L179" s="37">
        <f>'Social- och hälsovårdskostnader'!$K179*$L$14</f>
        <v>45328.816563294298</v>
      </c>
      <c r="M179" s="36">
        <v>-619.55941000000007</v>
      </c>
      <c r="N179" s="239">
        <f t="shared" si="16"/>
        <v>44709257.153294295</v>
      </c>
      <c r="Q179" s="44"/>
      <c r="R179" s="44"/>
      <c r="S179" s="44"/>
      <c r="T179" s="44"/>
      <c r="U179" s="39"/>
      <c r="AE179" s="40"/>
      <c r="AF179" s="7"/>
      <c r="AG179" s="7"/>
      <c r="AH179" s="7"/>
      <c r="AI179" s="9"/>
      <c r="AJ179" s="9"/>
      <c r="AK179" s="9"/>
    </row>
    <row r="180" spans="1:37" x14ac:dyDescent="0.35">
      <c r="A180" s="34">
        <v>543</v>
      </c>
      <c r="B180" s="34" t="s">
        <v>222</v>
      </c>
      <c r="C180" s="35">
        <f>Bestämningsfaktor_kommunvis!C170</f>
        <v>35</v>
      </c>
      <c r="D180" s="36">
        <v>-119085</v>
      </c>
      <c r="E180" s="36">
        <v>-180</v>
      </c>
      <c r="F180" s="36">
        <f t="shared" si="13"/>
        <v>118905</v>
      </c>
      <c r="G180" s="36">
        <v>-128805</v>
      </c>
      <c r="H180" s="36">
        <v>-177</v>
      </c>
      <c r="I180" s="36">
        <f t="shared" si="14"/>
        <v>128628</v>
      </c>
      <c r="J180" s="37">
        <f t="shared" si="12"/>
        <v>123766.5</v>
      </c>
      <c r="K180" s="38">
        <f t="shared" si="15"/>
        <v>6.6384716290372719E-3</v>
      </c>
      <c r="L180" s="37">
        <f>'Social- och hälsovårdskostnader'!$K180*$L$14</f>
        <v>131384.62020774846</v>
      </c>
      <c r="M180" s="36">
        <v>-1529.62185</v>
      </c>
      <c r="N180" s="239">
        <f t="shared" si="16"/>
        <v>129854998.35774846</v>
      </c>
      <c r="Q180" s="44"/>
      <c r="R180" s="44"/>
      <c r="S180" s="44"/>
      <c r="T180" s="44"/>
      <c r="U180" s="39"/>
      <c r="AE180" s="40"/>
      <c r="AF180" s="7"/>
      <c r="AG180" s="7"/>
      <c r="AH180" s="7"/>
      <c r="AI180" s="9"/>
      <c r="AJ180" s="9"/>
      <c r="AK180" s="9"/>
    </row>
    <row r="181" spans="1:37" x14ac:dyDescent="0.35">
      <c r="A181" s="34">
        <v>545</v>
      </c>
      <c r="B181" s="34" t="s">
        <v>223</v>
      </c>
      <c r="C181" s="35">
        <f>Bestämningsfaktor_kommunvis!C171</f>
        <v>15</v>
      </c>
      <c r="D181" s="36">
        <v>-33357</v>
      </c>
      <c r="E181" s="36">
        <v>-197</v>
      </c>
      <c r="F181" s="36">
        <f t="shared" si="13"/>
        <v>33160</v>
      </c>
      <c r="G181" s="36">
        <v>-35017</v>
      </c>
      <c r="H181" s="36">
        <v>-215</v>
      </c>
      <c r="I181" s="36">
        <f t="shared" si="14"/>
        <v>34802</v>
      </c>
      <c r="J181" s="37">
        <f t="shared" si="12"/>
        <v>33981</v>
      </c>
      <c r="K181" s="38">
        <f t="shared" si="15"/>
        <v>1.8226410573645982E-3</v>
      </c>
      <c r="L181" s="37">
        <f>'Social- och hälsovårdskostnader'!$K181*$L$14</f>
        <v>36072.610757187933</v>
      </c>
      <c r="M181" s="36">
        <v>-64.821359999999999</v>
      </c>
      <c r="N181" s="239">
        <f t="shared" si="16"/>
        <v>36007789.397187933</v>
      </c>
      <c r="Q181" s="44"/>
      <c r="R181" s="44"/>
      <c r="S181" s="44"/>
      <c r="T181" s="44"/>
      <c r="U181" s="39"/>
      <c r="AE181" s="40"/>
      <c r="AF181" s="7"/>
      <c r="AG181" s="7"/>
      <c r="AH181" s="7"/>
      <c r="AI181" s="9"/>
      <c r="AJ181" s="9"/>
      <c r="AK181" s="9"/>
    </row>
    <row r="182" spans="1:37" x14ac:dyDescent="0.35">
      <c r="A182" s="34">
        <v>560</v>
      </c>
      <c r="B182" s="34" t="s">
        <v>224</v>
      </c>
      <c r="C182" s="35">
        <f>Bestämningsfaktor_kommunvis!C172</f>
        <v>7</v>
      </c>
      <c r="D182" s="36">
        <v>-53357</v>
      </c>
      <c r="E182" s="36">
        <v>-371</v>
      </c>
      <c r="F182" s="36">
        <f t="shared" si="13"/>
        <v>52986</v>
      </c>
      <c r="G182" s="36">
        <v>-55330</v>
      </c>
      <c r="H182" s="36">
        <v>-291</v>
      </c>
      <c r="I182" s="36">
        <f t="shared" si="14"/>
        <v>55039</v>
      </c>
      <c r="J182" s="37">
        <f t="shared" si="12"/>
        <v>54012.5</v>
      </c>
      <c r="K182" s="38">
        <f t="shared" si="15"/>
        <v>2.8970718963804878E-3</v>
      </c>
      <c r="L182" s="37">
        <f>'Social- och hälsovårdskostnader'!$K182*$L$14</f>
        <v>57337.096863618295</v>
      </c>
      <c r="M182" s="36">
        <v>-1051.4941699999999</v>
      </c>
      <c r="N182" s="239">
        <f t="shared" si="16"/>
        <v>56285602.693618298</v>
      </c>
      <c r="Q182" s="44"/>
      <c r="R182" s="44"/>
      <c r="S182" s="44"/>
      <c r="T182" s="44"/>
      <c r="U182" s="39"/>
      <c r="AE182" s="40"/>
      <c r="AF182" s="7"/>
      <c r="AG182" s="7"/>
      <c r="AH182" s="7"/>
      <c r="AI182" s="9"/>
      <c r="AJ182" s="9"/>
      <c r="AK182" s="9"/>
    </row>
    <row r="183" spans="1:37" x14ac:dyDescent="0.35">
      <c r="A183" s="34">
        <v>561</v>
      </c>
      <c r="B183" s="34" t="s">
        <v>225</v>
      </c>
      <c r="C183" s="35">
        <f>Bestämningsfaktor_kommunvis!C173</f>
        <v>2</v>
      </c>
      <c r="D183" s="36">
        <v>-5810</v>
      </c>
      <c r="E183" s="36">
        <v>-32</v>
      </c>
      <c r="F183" s="36">
        <f t="shared" si="13"/>
        <v>5778</v>
      </c>
      <c r="G183" s="36">
        <v>-5505</v>
      </c>
      <c r="H183" s="36">
        <v>-33</v>
      </c>
      <c r="I183" s="36">
        <f t="shared" si="14"/>
        <v>5472</v>
      </c>
      <c r="J183" s="37">
        <f t="shared" si="12"/>
        <v>5625</v>
      </c>
      <c r="K183" s="38">
        <f t="shared" si="15"/>
        <v>3.0170848261310332E-4</v>
      </c>
      <c r="L183" s="37">
        <f>'Social- och hälsovårdskostnader'!$K183*$L$14</f>
        <v>5971.2320269910279</v>
      </c>
      <c r="M183" s="36">
        <v>-25.590049999999998</v>
      </c>
      <c r="N183" s="239">
        <f t="shared" si="16"/>
        <v>5945641.9769910276</v>
      </c>
      <c r="Q183" s="44"/>
      <c r="R183" s="44"/>
      <c r="S183" s="44"/>
      <c r="T183" s="44"/>
      <c r="U183" s="39"/>
      <c r="AE183" s="40"/>
      <c r="AF183" s="7"/>
      <c r="AG183" s="7"/>
      <c r="AH183" s="7"/>
      <c r="AI183" s="9"/>
      <c r="AJ183" s="9"/>
      <c r="AK183" s="9"/>
    </row>
    <row r="184" spans="1:37" x14ac:dyDescent="0.35">
      <c r="A184" s="34">
        <v>562</v>
      </c>
      <c r="B184" s="34" t="s">
        <v>226</v>
      </c>
      <c r="C184" s="35">
        <f>Bestämningsfaktor_kommunvis!C174</f>
        <v>6</v>
      </c>
      <c r="D184" s="36">
        <v>-35227</v>
      </c>
      <c r="E184" s="36">
        <v>-154</v>
      </c>
      <c r="F184" s="36">
        <f t="shared" si="13"/>
        <v>35073</v>
      </c>
      <c r="G184" s="36">
        <v>-35347</v>
      </c>
      <c r="H184" s="36">
        <v>-169</v>
      </c>
      <c r="I184" s="36">
        <f t="shared" si="14"/>
        <v>35178</v>
      </c>
      <c r="J184" s="37">
        <f t="shared" si="12"/>
        <v>35125.5</v>
      </c>
      <c r="K184" s="38">
        <f t="shared" si="15"/>
        <v>1.8840286766269442E-3</v>
      </c>
      <c r="L184" s="37">
        <f>'Social- och hälsovårdskostnader'!$K184*$L$14</f>
        <v>37287.557433613045</v>
      </c>
      <c r="M184" s="36">
        <v>-578.60768999999993</v>
      </c>
      <c r="N184" s="239">
        <f t="shared" si="16"/>
        <v>36708949.743613049</v>
      </c>
      <c r="Q184" s="44"/>
      <c r="R184" s="44"/>
      <c r="S184" s="44"/>
      <c r="T184" s="44"/>
      <c r="U184" s="39"/>
      <c r="AE184" s="40"/>
      <c r="AF184" s="7"/>
      <c r="AG184" s="7"/>
      <c r="AH184" s="7"/>
      <c r="AI184" s="9"/>
      <c r="AJ184" s="9"/>
      <c r="AK184" s="9"/>
    </row>
    <row r="185" spans="1:37" x14ac:dyDescent="0.35">
      <c r="A185" s="34">
        <v>563</v>
      </c>
      <c r="B185" s="34" t="s">
        <v>227</v>
      </c>
      <c r="C185" s="35">
        <f>Bestämningsfaktor_kommunvis!C175</f>
        <v>17</v>
      </c>
      <c r="D185" s="36">
        <v>-31169</v>
      </c>
      <c r="E185" s="36">
        <v>-258</v>
      </c>
      <c r="F185" s="36">
        <f t="shared" si="13"/>
        <v>30911</v>
      </c>
      <c r="G185" s="36">
        <v>-32060</v>
      </c>
      <c r="H185" s="36">
        <v>-234</v>
      </c>
      <c r="I185" s="36">
        <f t="shared" si="14"/>
        <v>31826</v>
      </c>
      <c r="J185" s="37">
        <f t="shared" si="12"/>
        <v>31368.5</v>
      </c>
      <c r="K185" s="38">
        <f t="shared" si="15"/>
        <v>1.682514228773179E-3</v>
      </c>
      <c r="L185" s="37">
        <f>'Social- och hälsovårdskostnader'!$K185*$L$14</f>
        <v>33299.305215763212</v>
      </c>
      <c r="M185" s="36">
        <v>-380.61048</v>
      </c>
      <c r="N185" s="239">
        <f t="shared" si="16"/>
        <v>32918694.735763207</v>
      </c>
      <c r="Q185" s="44"/>
      <c r="R185" s="44"/>
      <c r="S185" s="44"/>
      <c r="T185" s="44"/>
      <c r="U185" s="39"/>
      <c r="AE185" s="40"/>
      <c r="AF185" s="7"/>
      <c r="AG185" s="7"/>
      <c r="AH185" s="7"/>
      <c r="AI185" s="9"/>
      <c r="AJ185" s="9"/>
      <c r="AK185" s="9"/>
    </row>
    <row r="186" spans="1:37" x14ac:dyDescent="0.35">
      <c r="A186" s="34">
        <v>564</v>
      </c>
      <c r="B186" s="34" t="s">
        <v>228</v>
      </c>
      <c r="C186" s="35">
        <f>Bestämningsfaktor_kommunvis!C176</f>
        <v>17</v>
      </c>
      <c r="D186" s="36">
        <v>-614065</v>
      </c>
      <c r="E186" s="36">
        <v>-1520</v>
      </c>
      <c r="F186" s="36">
        <f t="shared" si="13"/>
        <v>612545</v>
      </c>
      <c r="G186" s="36">
        <v>-656254</v>
      </c>
      <c r="H186" s="36">
        <v>-3535</v>
      </c>
      <c r="I186" s="36">
        <f t="shared" si="14"/>
        <v>652719</v>
      </c>
      <c r="J186" s="37">
        <f t="shared" si="12"/>
        <v>632632</v>
      </c>
      <c r="K186" s="38">
        <f t="shared" si="15"/>
        <v>3.3932522803998721E-2</v>
      </c>
      <c r="L186" s="37">
        <f>'Social- och hälsovårdskostnader'!$K186*$L$14</f>
        <v>671571.99283544684</v>
      </c>
      <c r="M186" s="36">
        <v>-21414.555680000001</v>
      </c>
      <c r="N186" s="239">
        <f t="shared" si="16"/>
        <v>650157437.15544689</v>
      </c>
      <c r="Q186" s="44"/>
      <c r="R186" s="44"/>
      <c r="S186" s="44"/>
      <c r="T186" s="44"/>
      <c r="U186" s="39"/>
      <c r="AE186" s="40"/>
      <c r="AF186" s="7"/>
      <c r="AG186" s="7"/>
      <c r="AH186" s="7"/>
      <c r="AI186" s="9"/>
      <c r="AJ186" s="9"/>
      <c r="AK186" s="9"/>
    </row>
    <row r="187" spans="1:37" x14ac:dyDescent="0.35">
      <c r="A187" s="34">
        <v>576</v>
      </c>
      <c r="B187" s="34" t="s">
        <v>229</v>
      </c>
      <c r="C187" s="35">
        <f>Bestämningsfaktor_kommunvis!C177</f>
        <v>7</v>
      </c>
      <c r="D187" s="36">
        <v>-13486</v>
      </c>
      <c r="E187" s="36">
        <v>-77</v>
      </c>
      <c r="F187" s="36">
        <f t="shared" si="13"/>
        <v>13409</v>
      </c>
      <c r="G187" s="36">
        <v>-13655</v>
      </c>
      <c r="H187" s="36">
        <v>-43</v>
      </c>
      <c r="I187" s="36">
        <f t="shared" si="14"/>
        <v>13612</v>
      </c>
      <c r="J187" s="37">
        <f t="shared" si="12"/>
        <v>13510.5</v>
      </c>
      <c r="K187" s="38">
        <f t="shared" si="15"/>
        <v>7.2466354743899242E-4</v>
      </c>
      <c r="L187" s="37">
        <f>'Social- och hälsovårdskostnader'!$K187*$L$14</f>
        <v>14342.103164562184</v>
      </c>
      <c r="M187" s="36">
        <v>-115.68971000000001</v>
      </c>
      <c r="N187" s="239">
        <f t="shared" si="16"/>
        <v>14226413.454562183</v>
      </c>
      <c r="Q187" s="44"/>
      <c r="R187" s="44"/>
      <c r="S187" s="44"/>
      <c r="T187" s="44"/>
      <c r="U187" s="39"/>
      <c r="AE187" s="40"/>
      <c r="AF187" s="7"/>
      <c r="AG187" s="7"/>
      <c r="AH187" s="7"/>
      <c r="AI187" s="9"/>
      <c r="AJ187" s="9"/>
      <c r="AK187" s="9"/>
    </row>
    <row r="188" spans="1:37" x14ac:dyDescent="0.35">
      <c r="A188" s="34">
        <v>577</v>
      </c>
      <c r="B188" s="34" t="s">
        <v>230</v>
      </c>
      <c r="C188" s="35">
        <f>Bestämningsfaktor_kommunvis!C178</f>
        <v>2</v>
      </c>
      <c r="D188" s="36">
        <v>-31172</v>
      </c>
      <c r="E188" s="36">
        <v>-88</v>
      </c>
      <c r="F188" s="36">
        <f t="shared" si="13"/>
        <v>31084</v>
      </c>
      <c r="G188" s="36">
        <v>-33961</v>
      </c>
      <c r="H188" s="36">
        <v>-110</v>
      </c>
      <c r="I188" s="36">
        <f t="shared" si="14"/>
        <v>33851</v>
      </c>
      <c r="J188" s="37">
        <f t="shared" si="12"/>
        <v>32467.5</v>
      </c>
      <c r="K188" s="38">
        <f t="shared" si="15"/>
        <v>1.7414613616428324E-3</v>
      </c>
      <c r="L188" s="37">
        <f>'Social- och hälsovårdskostnader'!$K188*$L$14</f>
        <v>34465.951259792215</v>
      </c>
      <c r="M188" s="36">
        <v>-46.119279999999996</v>
      </c>
      <c r="N188" s="239">
        <f t="shared" si="16"/>
        <v>34419831.979792215</v>
      </c>
      <c r="Q188" s="44"/>
      <c r="R188" s="44"/>
      <c r="S188" s="44"/>
      <c r="T188" s="44"/>
      <c r="U188" s="39"/>
      <c r="AE188" s="40"/>
      <c r="AF188" s="7"/>
      <c r="AG188" s="7"/>
      <c r="AH188" s="7"/>
      <c r="AI188" s="9"/>
      <c r="AJ188" s="9"/>
      <c r="AK188" s="9"/>
    </row>
    <row r="189" spans="1:37" x14ac:dyDescent="0.35">
      <c r="A189" s="34">
        <v>578</v>
      </c>
      <c r="B189" s="34" t="s">
        <v>231</v>
      </c>
      <c r="C189" s="35">
        <f>Bestämningsfaktor_kommunvis!C179</f>
        <v>18</v>
      </c>
      <c r="D189" s="36">
        <v>-15428</v>
      </c>
      <c r="E189" s="36">
        <v>-96</v>
      </c>
      <c r="F189" s="36">
        <f t="shared" si="13"/>
        <v>15332</v>
      </c>
      <c r="G189" s="36">
        <v>-15908</v>
      </c>
      <c r="H189" s="36">
        <v>-97</v>
      </c>
      <c r="I189" s="36">
        <f t="shared" si="14"/>
        <v>15811</v>
      </c>
      <c r="J189" s="37">
        <f t="shared" si="12"/>
        <v>15571.5</v>
      </c>
      <c r="K189" s="38">
        <f t="shared" si="15"/>
        <v>8.3520953546843354E-4</v>
      </c>
      <c r="L189" s="37">
        <f>'Social- och hälsovårdskostnader'!$K189*$L$14</f>
        <v>16529.962579251696</v>
      </c>
      <c r="M189" s="36">
        <v>-298.04012999999998</v>
      </c>
      <c r="N189" s="239">
        <f t="shared" si="16"/>
        <v>16231922.449251696</v>
      </c>
      <c r="Q189" s="44"/>
      <c r="R189" s="44"/>
      <c r="S189" s="44"/>
      <c r="T189" s="44"/>
      <c r="U189" s="39"/>
      <c r="AE189" s="40"/>
      <c r="AF189" s="7"/>
      <c r="AG189" s="7"/>
      <c r="AH189" s="7"/>
      <c r="AI189" s="9"/>
      <c r="AJ189" s="9"/>
      <c r="AK189" s="9"/>
    </row>
    <row r="190" spans="1:37" x14ac:dyDescent="0.35">
      <c r="A190" s="34">
        <v>580</v>
      </c>
      <c r="B190" s="34" t="s">
        <v>232</v>
      </c>
      <c r="C190" s="35">
        <f>Bestämningsfaktor_kommunvis!C180</f>
        <v>9</v>
      </c>
      <c r="D190" s="36">
        <v>-21836</v>
      </c>
      <c r="E190" s="36">
        <v>-259</v>
      </c>
      <c r="F190" s="36">
        <f t="shared" si="13"/>
        <v>21577</v>
      </c>
      <c r="G190" s="36">
        <v>-22704</v>
      </c>
      <c r="H190" s="36">
        <v>-260</v>
      </c>
      <c r="I190" s="36">
        <f t="shared" si="14"/>
        <v>22444</v>
      </c>
      <c r="J190" s="37">
        <f t="shared" si="12"/>
        <v>22010.5</v>
      </c>
      <c r="K190" s="38">
        <f t="shared" si="15"/>
        <v>1.1805785878321263E-3</v>
      </c>
      <c r="L190" s="37">
        <f>'Social- och hälsovårdskostnader'!$K190*$L$14</f>
        <v>23365.298227570849</v>
      </c>
      <c r="M190" s="36">
        <v>-263.10543999999999</v>
      </c>
      <c r="N190" s="239">
        <f t="shared" si="16"/>
        <v>23102192.787570849</v>
      </c>
      <c r="Q190" s="44"/>
      <c r="R190" s="44"/>
      <c r="S190" s="44"/>
      <c r="T190" s="44"/>
      <c r="U190" s="39"/>
      <c r="AE190" s="40"/>
      <c r="AF190" s="7"/>
      <c r="AG190" s="7"/>
      <c r="AH190" s="7"/>
      <c r="AI190" s="9"/>
      <c r="AJ190" s="9"/>
      <c r="AK190" s="9"/>
    </row>
    <row r="191" spans="1:37" x14ac:dyDescent="0.35">
      <c r="A191" s="34">
        <v>581</v>
      </c>
      <c r="B191" s="34" t="s">
        <v>233</v>
      </c>
      <c r="C191" s="35">
        <f>Bestämningsfaktor_kommunvis!C181</f>
        <v>6</v>
      </c>
      <c r="D191" s="36">
        <v>-23961</v>
      </c>
      <c r="E191" s="36">
        <v>-151</v>
      </c>
      <c r="F191" s="36">
        <f t="shared" si="13"/>
        <v>23810</v>
      </c>
      <c r="G191" s="36">
        <v>-25006</v>
      </c>
      <c r="H191" s="36">
        <v>-164</v>
      </c>
      <c r="I191" s="36">
        <f t="shared" si="14"/>
        <v>24842</v>
      </c>
      <c r="J191" s="37">
        <f t="shared" si="12"/>
        <v>24326</v>
      </c>
      <c r="K191" s="38">
        <f t="shared" si="15"/>
        <v>1.3047752085415735E-3</v>
      </c>
      <c r="L191" s="37">
        <f>'Social- och hälsovårdskostnader'!$K191*$L$14</f>
        <v>25823.322717970445</v>
      </c>
      <c r="M191" s="36">
        <v>-166.04132000000001</v>
      </c>
      <c r="N191" s="239">
        <f t="shared" si="16"/>
        <v>25657281.397970445</v>
      </c>
      <c r="Q191" s="44"/>
      <c r="R191" s="44"/>
      <c r="S191" s="44"/>
      <c r="T191" s="44"/>
      <c r="U191" s="39"/>
      <c r="AE191" s="40"/>
      <c r="AF191" s="7"/>
      <c r="AG191" s="7"/>
      <c r="AH191" s="7"/>
      <c r="AI191" s="9"/>
      <c r="AJ191" s="9"/>
      <c r="AK191" s="9"/>
    </row>
    <row r="192" spans="1:37" x14ac:dyDescent="0.35">
      <c r="A192" s="34">
        <v>583</v>
      </c>
      <c r="B192" s="34" t="s">
        <v>234</v>
      </c>
      <c r="C192" s="35">
        <f>Bestämningsfaktor_kommunvis!C182</f>
        <v>19</v>
      </c>
      <c r="D192" s="36">
        <v>-5800</v>
      </c>
      <c r="E192" s="36">
        <v>-61</v>
      </c>
      <c r="F192" s="36">
        <f t="shared" si="13"/>
        <v>5739</v>
      </c>
      <c r="G192" s="36">
        <v>-6494</v>
      </c>
      <c r="H192" s="36">
        <v>-58</v>
      </c>
      <c r="I192" s="36">
        <f t="shared" si="14"/>
        <v>6436</v>
      </c>
      <c r="J192" s="37">
        <f t="shared" si="12"/>
        <v>6087.5</v>
      </c>
      <c r="K192" s="38">
        <f t="shared" si="15"/>
        <v>3.265156245168474E-4</v>
      </c>
      <c r="L192" s="37">
        <f>'Social- och hälsovårdskostnader'!$K192*$L$14</f>
        <v>6462.1999936547354</v>
      </c>
      <c r="M192" s="36">
        <v>-59.007040000000003</v>
      </c>
      <c r="N192" s="239">
        <f t="shared" si="16"/>
        <v>6403192.9536547353</v>
      </c>
      <c r="Q192" s="44"/>
      <c r="R192" s="44"/>
      <c r="S192" s="44"/>
      <c r="T192" s="44"/>
      <c r="U192" s="39"/>
      <c r="AE192" s="40"/>
      <c r="AF192" s="7"/>
      <c r="AG192" s="7"/>
      <c r="AH192" s="7"/>
      <c r="AI192" s="9"/>
      <c r="AJ192" s="9"/>
      <c r="AK192" s="9"/>
    </row>
    <row r="193" spans="1:37" x14ac:dyDescent="0.35">
      <c r="A193" s="34">
        <v>584</v>
      </c>
      <c r="B193" s="34" t="s">
        <v>235</v>
      </c>
      <c r="C193" s="35">
        <f>Bestämningsfaktor_kommunvis!C183</f>
        <v>16</v>
      </c>
      <c r="D193" s="36">
        <v>-11374</v>
      </c>
      <c r="E193" s="36">
        <v>-113</v>
      </c>
      <c r="F193" s="36">
        <f t="shared" si="13"/>
        <v>11261</v>
      </c>
      <c r="G193" s="36">
        <v>-11321</v>
      </c>
      <c r="H193" s="36">
        <v>-122</v>
      </c>
      <c r="I193" s="36">
        <f t="shared" si="14"/>
        <v>11199</v>
      </c>
      <c r="J193" s="37">
        <f t="shared" si="12"/>
        <v>11230</v>
      </c>
      <c r="K193" s="38">
        <f t="shared" si="15"/>
        <v>6.0234422395469343E-4</v>
      </c>
      <c r="L193" s="37">
        <f>'Social- och hälsovårdskostnader'!$K193*$L$14</f>
        <v>11921.233006774977</v>
      </c>
      <c r="M193" s="36">
        <v>-70.55171</v>
      </c>
      <c r="N193" s="239">
        <f t="shared" si="16"/>
        <v>11850681.296774978</v>
      </c>
      <c r="Q193" s="44"/>
      <c r="R193" s="44"/>
      <c r="S193" s="44"/>
      <c r="T193" s="44"/>
      <c r="U193" s="39"/>
      <c r="AE193" s="40"/>
      <c r="AF193" s="7"/>
      <c r="AG193" s="7"/>
      <c r="AH193" s="7"/>
      <c r="AI193" s="9"/>
      <c r="AJ193" s="9"/>
      <c r="AK193" s="9"/>
    </row>
    <row r="194" spans="1:37" x14ac:dyDescent="0.35">
      <c r="A194" s="34">
        <v>588</v>
      </c>
      <c r="B194" s="34" t="s">
        <v>236</v>
      </c>
      <c r="C194" s="35">
        <f>Bestämningsfaktor_kommunvis!C184</f>
        <v>10</v>
      </c>
      <c r="D194" s="36">
        <v>-7876</v>
      </c>
      <c r="E194" s="36">
        <v>-58</v>
      </c>
      <c r="F194" s="36">
        <f t="shared" si="13"/>
        <v>7818</v>
      </c>
      <c r="G194" s="36">
        <v>-8381</v>
      </c>
      <c r="H194" s="36">
        <v>-62</v>
      </c>
      <c r="I194" s="36">
        <f t="shared" si="14"/>
        <v>8319</v>
      </c>
      <c r="J194" s="37">
        <f t="shared" si="12"/>
        <v>8068.5</v>
      </c>
      <c r="K194" s="38">
        <f t="shared" si="15"/>
        <v>4.327706474602354E-4</v>
      </c>
      <c r="L194" s="37">
        <f>'Social- och hälsovårdskostnader'!$K194*$L$14</f>
        <v>8565.1352195159307</v>
      </c>
      <c r="M194" s="36">
        <v>-91.613929999999996</v>
      </c>
      <c r="N194" s="239">
        <f t="shared" si="16"/>
        <v>8473521.2895159312</v>
      </c>
      <c r="Q194" s="44"/>
      <c r="R194" s="44"/>
      <c r="S194" s="44"/>
      <c r="T194" s="44"/>
      <c r="U194" s="39"/>
      <c r="AE194" s="40"/>
      <c r="AF194" s="7"/>
      <c r="AG194" s="7"/>
      <c r="AH194" s="7"/>
      <c r="AI194" s="9"/>
      <c r="AJ194" s="9"/>
      <c r="AK194" s="9"/>
    </row>
    <row r="195" spans="1:37" x14ac:dyDescent="0.35">
      <c r="A195" s="34">
        <v>592</v>
      </c>
      <c r="B195" s="34" t="s">
        <v>237</v>
      </c>
      <c r="C195" s="35">
        <f>Bestämningsfaktor_kommunvis!C185</f>
        <v>13</v>
      </c>
      <c r="D195" s="36">
        <v>-12730</v>
      </c>
      <c r="E195" s="36">
        <v>-108</v>
      </c>
      <c r="F195" s="36">
        <f t="shared" si="13"/>
        <v>12622</v>
      </c>
      <c r="G195" s="36">
        <v>-13549</v>
      </c>
      <c r="H195" s="36">
        <v>-113</v>
      </c>
      <c r="I195" s="36">
        <f t="shared" si="14"/>
        <v>13436</v>
      </c>
      <c r="J195" s="37">
        <f t="shared" si="12"/>
        <v>13029</v>
      </c>
      <c r="K195" s="38">
        <f t="shared" si="15"/>
        <v>6.9883730132731087E-4</v>
      </c>
      <c r="L195" s="37">
        <f>'Social- och hälsovårdskostnader'!$K195*$L$14</f>
        <v>13830.965703051754</v>
      </c>
      <c r="M195" s="36">
        <v>-192.31242</v>
      </c>
      <c r="N195" s="239">
        <f t="shared" si="16"/>
        <v>13638653.283051753</v>
      </c>
      <c r="Q195" s="44"/>
      <c r="R195" s="44"/>
      <c r="S195" s="44"/>
      <c r="T195" s="44"/>
      <c r="U195" s="39"/>
      <c r="AE195" s="40"/>
      <c r="AF195" s="7"/>
      <c r="AG195" s="7"/>
      <c r="AH195" s="7"/>
      <c r="AI195" s="9"/>
      <c r="AJ195" s="9"/>
      <c r="AK195" s="9"/>
    </row>
    <row r="196" spans="1:37" x14ac:dyDescent="0.35">
      <c r="A196" s="34">
        <v>593</v>
      </c>
      <c r="B196" s="34" t="s">
        <v>238</v>
      </c>
      <c r="C196" s="35">
        <f>Bestämningsfaktor_kommunvis!C186</f>
        <v>10</v>
      </c>
      <c r="D196" s="36">
        <v>-80055</v>
      </c>
      <c r="E196" s="36">
        <v>-336</v>
      </c>
      <c r="F196" s="36">
        <f t="shared" si="13"/>
        <v>79719</v>
      </c>
      <c r="G196" s="36">
        <v>-81761</v>
      </c>
      <c r="H196" s="36">
        <v>-344</v>
      </c>
      <c r="I196" s="36">
        <f t="shared" si="14"/>
        <v>81417</v>
      </c>
      <c r="J196" s="37">
        <f t="shared" si="12"/>
        <v>80568</v>
      </c>
      <c r="K196" s="38">
        <f t="shared" si="15"/>
        <v>4.3214309381640016E-3</v>
      </c>
      <c r="L196" s="37">
        <f>'Social- och hälsovårdskostnader'!$K196*$L$14</f>
        <v>85527.150568997895</v>
      </c>
      <c r="M196" s="36">
        <v>-695.71475999999996</v>
      </c>
      <c r="N196" s="239">
        <f t="shared" si="16"/>
        <v>84831435.808997899</v>
      </c>
      <c r="Q196" s="44"/>
      <c r="R196" s="44"/>
      <c r="S196" s="44"/>
      <c r="T196" s="44"/>
      <c r="U196" s="39"/>
      <c r="AE196" s="40"/>
      <c r="AF196" s="7"/>
      <c r="AG196" s="7"/>
      <c r="AH196" s="7"/>
      <c r="AI196" s="9"/>
      <c r="AJ196" s="9"/>
      <c r="AK196" s="9"/>
    </row>
    <row r="197" spans="1:37" x14ac:dyDescent="0.35">
      <c r="A197" s="34">
        <v>595</v>
      </c>
      <c r="B197" s="34" t="s">
        <v>239</v>
      </c>
      <c r="C197" s="35">
        <f>Bestämningsfaktor_kommunvis!C187</f>
        <v>11</v>
      </c>
      <c r="D197" s="36">
        <v>-22167</v>
      </c>
      <c r="E197" s="36">
        <v>-273</v>
      </c>
      <c r="F197" s="36">
        <f t="shared" si="13"/>
        <v>21894</v>
      </c>
      <c r="G197" s="36">
        <v>-23078</v>
      </c>
      <c r="H197" s="36">
        <v>-274</v>
      </c>
      <c r="I197" s="36">
        <f t="shared" si="14"/>
        <v>22804</v>
      </c>
      <c r="J197" s="37">
        <f t="shared" si="12"/>
        <v>22349</v>
      </c>
      <c r="K197" s="38">
        <f t="shared" si="15"/>
        <v>1.1987347338524882E-3</v>
      </c>
      <c r="L197" s="37">
        <f>'Social- och hälsovårdskostnader'!$K197*$L$14</f>
        <v>23724.633701550665</v>
      </c>
      <c r="M197" s="36">
        <v>-184.80775</v>
      </c>
      <c r="N197" s="239">
        <f t="shared" si="16"/>
        <v>23539825.951550666</v>
      </c>
      <c r="Q197" s="44"/>
      <c r="R197" s="44"/>
      <c r="S197" s="44"/>
      <c r="T197" s="44"/>
      <c r="U197" s="39"/>
      <c r="AE197" s="40"/>
      <c r="AF197" s="7"/>
      <c r="AG197" s="7"/>
      <c r="AH197" s="7"/>
      <c r="AI197" s="9"/>
      <c r="AJ197" s="9"/>
      <c r="AK197" s="9"/>
    </row>
    <row r="198" spans="1:37" x14ac:dyDescent="0.35">
      <c r="A198" s="34">
        <v>598</v>
      </c>
      <c r="B198" s="34" t="s">
        <v>240</v>
      </c>
      <c r="C198" s="35">
        <f>Bestämningsfaktor_kommunvis!C188</f>
        <v>15</v>
      </c>
      <c r="D198" s="36">
        <v>-74644</v>
      </c>
      <c r="E198" s="36">
        <v>-327</v>
      </c>
      <c r="F198" s="36">
        <f t="shared" si="13"/>
        <v>74317</v>
      </c>
      <c r="G198" s="36">
        <v>-76186</v>
      </c>
      <c r="H198" s="36">
        <v>-329</v>
      </c>
      <c r="I198" s="36">
        <f t="shared" si="14"/>
        <v>75857</v>
      </c>
      <c r="J198" s="37">
        <f t="shared" si="12"/>
        <v>75087</v>
      </c>
      <c r="K198" s="38">
        <f t="shared" si="15"/>
        <v>4.0274461927057937E-3</v>
      </c>
      <c r="L198" s="37">
        <f>'Social- och hälsovårdskostnader'!$K198*$L$14</f>
        <v>79708.782081897836</v>
      </c>
      <c r="M198" s="36">
        <v>-761.30068999999992</v>
      </c>
      <c r="N198" s="239">
        <f t="shared" si="16"/>
        <v>78947481.391897827</v>
      </c>
      <c r="Q198" s="44"/>
      <c r="R198" s="44"/>
      <c r="S198" s="44"/>
      <c r="T198" s="44"/>
      <c r="U198" s="39"/>
      <c r="AE198" s="40"/>
      <c r="AF198" s="7"/>
      <c r="AG198" s="7"/>
      <c r="AH198" s="7"/>
      <c r="AI198" s="9"/>
      <c r="AJ198" s="9"/>
      <c r="AK198" s="9"/>
    </row>
    <row r="199" spans="1:37" x14ac:dyDescent="0.35">
      <c r="A199" s="34">
        <v>599</v>
      </c>
      <c r="B199" s="34" t="s">
        <v>241</v>
      </c>
      <c r="C199" s="35">
        <f>Bestämningsfaktor_kommunvis!C189</f>
        <v>15</v>
      </c>
      <c r="D199" s="36">
        <v>-32802</v>
      </c>
      <c r="E199" s="36">
        <v>-202</v>
      </c>
      <c r="F199" s="36">
        <f t="shared" si="13"/>
        <v>32600</v>
      </c>
      <c r="G199" s="36">
        <v>-35882</v>
      </c>
      <c r="H199" s="36">
        <v>-215</v>
      </c>
      <c r="I199" s="36">
        <f t="shared" si="14"/>
        <v>35667</v>
      </c>
      <c r="J199" s="37">
        <f t="shared" si="12"/>
        <v>34133.5</v>
      </c>
      <c r="K199" s="38">
        <f t="shared" si="15"/>
        <v>1.8308207095598867E-3</v>
      </c>
      <c r="L199" s="37">
        <f>'Social- och hälsovårdskostnader'!$K199*$L$14</f>
        <v>36234.497492141913</v>
      </c>
      <c r="M199" s="36">
        <v>-94.696100000000001</v>
      </c>
      <c r="N199" s="239">
        <f t="shared" si="16"/>
        <v>36139801.392141908</v>
      </c>
      <c r="Q199" s="44"/>
      <c r="R199" s="44"/>
      <c r="S199" s="44"/>
      <c r="T199" s="44"/>
      <c r="U199" s="39"/>
      <c r="AE199" s="40"/>
      <c r="AF199" s="7"/>
      <c r="AG199" s="7"/>
      <c r="AH199" s="7"/>
      <c r="AI199" s="9"/>
      <c r="AJ199" s="9"/>
      <c r="AK199" s="9"/>
    </row>
    <row r="200" spans="1:37" x14ac:dyDescent="0.35">
      <c r="A200" s="34">
        <v>601</v>
      </c>
      <c r="B200" s="34" t="s">
        <v>242</v>
      </c>
      <c r="C200" s="35">
        <f>Bestämningsfaktor_kommunvis!C190</f>
        <v>13</v>
      </c>
      <c r="D200" s="36">
        <v>-17629</v>
      </c>
      <c r="E200" s="36">
        <v>-243</v>
      </c>
      <c r="F200" s="36">
        <f t="shared" si="13"/>
        <v>17386</v>
      </c>
      <c r="G200" s="36">
        <v>-18714</v>
      </c>
      <c r="H200" s="36">
        <v>-248</v>
      </c>
      <c r="I200" s="36">
        <f t="shared" si="14"/>
        <v>18466</v>
      </c>
      <c r="J200" s="37">
        <f t="shared" si="12"/>
        <v>17926</v>
      </c>
      <c r="K200" s="38">
        <f t="shared" si="15"/>
        <v>9.6149800165733158E-4</v>
      </c>
      <c r="L200" s="37">
        <f>'Social- och hälsovårdskostnader'!$K200*$L$14</f>
        <v>19029.387611705097</v>
      </c>
      <c r="M200" s="36">
        <v>-218.12897000000001</v>
      </c>
      <c r="N200" s="239">
        <f t="shared" si="16"/>
        <v>18811258.641705096</v>
      </c>
      <c r="Q200" s="44"/>
      <c r="R200" s="44"/>
      <c r="S200" s="44"/>
      <c r="T200" s="44"/>
      <c r="U200" s="39"/>
      <c r="AE200" s="40"/>
      <c r="AF200" s="7"/>
      <c r="AG200" s="7"/>
      <c r="AH200" s="7"/>
      <c r="AI200" s="9"/>
      <c r="AJ200" s="9"/>
      <c r="AK200" s="9"/>
    </row>
    <row r="201" spans="1:37" x14ac:dyDescent="0.35">
      <c r="A201" s="34">
        <v>604</v>
      </c>
      <c r="B201" s="34" t="s">
        <v>243</v>
      </c>
      <c r="C201" s="35">
        <f>Bestämningsfaktor_kommunvis!C191</f>
        <v>6</v>
      </c>
      <c r="D201" s="36">
        <v>-50801</v>
      </c>
      <c r="E201" s="36">
        <v>-229</v>
      </c>
      <c r="F201" s="36">
        <f t="shared" si="13"/>
        <v>50572</v>
      </c>
      <c r="G201" s="36">
        <v>-55573</v>
      </c>
      <c r="H201" s="36">
        <v>-221</v>
      </c>
      <c r="I201" s="36">
        <f t="shared" si="14"/>
        <v>55352</v>
      </c>
      <c r="J201" s="37">
        <f t="shared" si="12"/>
        <v>52962</v>
      </c>
      <c r="K201" s="38">
        <f t="shared" si="15"/>
        <v>2.8407261610942538E-3</v>
      </c>
      <c r="L201" s="37">
        <f>'Social- och hälsovårdskostnader'!$K201*$L$14</f>
        <v>56221.936109066461</v>
      </c>
      <c r="M201" s="36">
        <v>-691.57209</v>
      </c>
      <c r="N201" s="239">
        <f t="shared" si="16"/>
        <v>55530364.01906646</v>
      </c>
      <c r="Q201" s="44"/>
      <c r="R201" s="44"/>
      <c r="S201" s="44"/>
      <c r="T201" s="44"/>
      <c r="U201" s="39"/>
      <c r="AE201" s="40"/>
      <c r="AF201" s="7"/>
      <c r="AG201" s="7"/>
      <c r="AH201" s="7"/>
      <c r="AI201" s="9"/>
      <c r="AJ201" s="9"/>
      <c r="AK201" s="9"/>
    </row>
    <row r="202" spans="1:37" x14ac:dyDescent="0.35">
      <c r="A202" s="34">
        <v>607</v>
      </c>
      <c r="B202" s="34" t="s">
        <v>244</v>
      </c>
      <c r="C202" s="35">
        <f>Bestämningsfaktor_kommunvis!C192</f>
        <v>12</v>
      </c>
      <c r="D202" s="36">
        <v>-16535</v>
      </c>
      <c r="E202" s="36">
        <v>-200</v>
      </c>
      <c r="F202" s="36">
        <f t="shared" si="13"/>
        <v>16335</v>
      </c>
      <c r="G202" s="36">
        <v>-16864</v>
      </c>
      <c r="H202" s="36">
        <v>-194</v>
      </c>
      <c r="I202" s="36">
        <f t="shared" si="14"/>
        <v>16670</v>
      </c>
      <c r="J202" s="37">
        <f t="shared" si="12"/>
        <v>16502.5</v>
      </c>
      <c r="K202" s="38">
        <f t="shared" si="15"/>
        <v>8.8514564165737561E-4</v>
      </c>
      <c r="L202" s="37">
        <f>'Social- och hälsovårdskostnader'!$K202*$L$14</f>
        <v>17518.267826741234</v>
      </c>
      <c r="M202" s="36">
        <v>-456.37367999999998</v>
      </c>
      <c r="N202" s="239">
        <f t="shared" si="16"/>
        <v>17061894.146741234</v>
      </c>
      <c r="Q202" s="44"/>
      <c r="R202" s="44"/>
      <c r="S202" s="44"/>
      <c r="T202" s="44"/>
      <c r="U202" s="39"/>
      <c r="AE202" s="40"/>
      <c r="AF202" s="7"/>
      <c r="AG202" s="7"/>
      <c r="AH202" s="7"/>
      <c r="AI202" s="9"/>
      <c r="AJ202" s="9"/>
      <c r="AK202" s="9"/>
    </row>
    <row r="203" spans="1:37" x14ac:dyDescent="0.35">
      <c r="A203" s="34">
        <v>608</v>
      </c>
      <c r="B203" s="34" t="s">
        <v>245</v>
      </c>
      <c r="C203" s="35">
        <f>Bestämningsfaktor_kommunvis!C193</f>
        <v>4</v>
      </c>
      <c r="D203" s="36">
        <v>-8752</v>
      </c>
      <c r="E203" s="36">
        <v>-36</v>
      </c>
      <c r="F203" s="36">
        <f t="shared" si="13"/>
        <v>8716</v>
      </c>
      <c r="G203" s="36">
        <v>-9027</v>
      </c>
      <c r="H203" s="36">
        <v>-42</v>
      </c>
      <c r="I203" s="36">
        <f t="shared" si="14"/>
        <v>8985</v>
      </c>
      <c r="J203" s="37">
        <f t="shared" si="12"/>
        <v>8850.5</v>
      </c>
      <c r="K203" s="38">
        <f t="shared" si="15"/>
        <v>4.7471483117640374E-4</v>
      </c>
      <c r="L203" s="37">
        <f>'Social- och hälsovårdskostnader'!$K203*$L$14</f>
        <v>9395.2691653127276</v>
      </c>
      <c r="M203" s="36">
        <v>-65.334419999999994</v>
      </c>
      <c r="N203" s="239">
        <f t="shared" si="16"/>
        <v>9329934.745312728</v>
      </c>
      <c r="Q203" s="44"/>
      <c r="R203" s="44"/>
      <c r="S203" s="44"/>
      <c r="T203" s="44"/>
      <c r="U203" s="39"/>
      <c r="AE203" s="40"/>
      <c r="AF203" s="7"/>
      <c r="AG203" s="7"/>
      <c r="AH203" s="7"/>
      <c r="AI203" s="9"/>
      <c r="AJ203" s="9"/>
      <c r="AK203" s="9"/>
    </row>
    <row r="204" spans="1:37" x14ac:dyDescent="0.35">
      <c r="A204" s="34">
        <v>609</v>
      </c>
      <c r="B204" s="34" t="s">
        <v>246</v>
      </c>
      <c r="C204" s="35">
        <f>Bestämningsfaktor_kommunvis!C194</f>
        <v>4</v>
      </c>
      <c r="D204" s="36">
        <v>-290772</v>
      </c>
      <c r="E204" s="36">
        <v>-664</v>
      </c>
      <c r="F204" s="36">
        <f t="shared" si="13"/>
        <v>290108</v>
      </c>
      <c r="G204" s="36">
        <v>-301414</v>
      </c>
      <c r="H204" s="36">
        <v>-632</v>
      </c>
      <c r="I204" s="36">
        <f t="shared" si="14"/>
        <v>300782</v>
      </c>
      <c r="J204" s="37">
        <f t="shared" si="12"/>
        <v>295445</v>
      </c>
      <c r="K204" s="38">
        <f t="shared" si="15"/>
        <v>1.5846802248111701E-2</v>
      </c>
      <c r="L204" s="37">
        <f>'Social- och hälsovårdskostnader'!$K204*$L$14</f>
        <v>313630.33710477588</v>
      </c>
      <c r="M204" s="36">
        <v>-4842.9827599999999</v>
      </c>
      <c r="N204" s="239">
        <f t="shared" si="16"/>
        <v>308787354.34477592</v>
      </c>
      <c r="Q204" s="44"/>
      <c r="R204" s="44"/>
      <c r="S204" s="44"/>
      <c r="T204" s="44"/>
      <c r="U204" s="39"/>
      <c r="AE204" s="40"/>
      <c r="AF204" s="7"/>
      <c r="AG204" s="7"/>
      <c r="AH204" s="7"/>
      <c r="AI204" s="9"/>
      <c r="AJ204" s="9"/>
      <c r="AK204" s="9"/>
    </row>
    <row r="205" spans="1:37" x14ac:dyDescent="0.35">
      <c r="A205" s="34">
        <v>611</v>
      </c>
      <c r="B205" s="34" t="s">
        <v>247</v>
      </c>
      <c r="C205" s="35">
        <f>Bestämningsfaktor_kommunvis!C195</f>
        <v>35</v>
      </c>
      <c r="D205" s="36">
        <v>-12397</v>
      </c>
      <c r="E205" s="36">
        <v>-94</v>
      </c>
      <c r="F205" s="36">
        <f t="shared" si="13"/>
        <v>12303</v>
      </c>
      <c r="G205" s="36">
        <v>-13398</v>
      </c>
      <c r="H205" s="36">
        <v>-76</v>
      </c>
      <c r="I205" s="36">
        <f t="shared" si="14"/>
        <v>13322</v>
      </c>
      <c r="J205" s="37">
        <f t="shared" si="12"/>
        <v>12812.5</v>
      </c>
      <c r="K205" s="38">
        <f t="shared" si="15"/>
        <v>6.8722487706317985E-4</v>
      </c>
      <c r="L205" s="37">
        <f>'Social- och hälsovårdskostnader'!$K205*$L$14</f>
        <v>13601.13961703512</v>
      </c>
      <c r="M205" s="36">
        <v>-189.27938</v>
      </c>
      <c r="N205" s="239">
        <f t="shared" si="16"/>
        <v>13411860.23703512</v>
      </c>
      <c r="Q205" s="44"/>
      <c r="R205" s="44"/>
      <c r="S205" s="44"/>
      <c r="T205" s="44"/>
      <c r="U205" s="39"/>
      <c r="AE205" s="40"/>
      <c r="AF205" s="7"/>
      <c r="AG205" s="7"/>
      <c r="AH205" s="7"/>
      <c r="AI205" s="9"/>
      <c r="AJ205" s="9"/>
      <c r="AK205" s="9"/>
    </row>
    <row r="206" spans="1:37" x14ac:dyDescent="0.35">
      <c r="A206" s="34">
        <v>614</v>
      </c>
      <c r="B206" s="34" t="s">
        <v>248</v>
      </c>
      <c r="C206" s="35">
        <f>Bestämningsfaktor_kommunvis!C196</f>
        <v>19</v>
      </c>
      <c r="D206" s="36">
        <v>-17577</v>
      </c>
      <c r="E206" s="36">
        <v>-189</v>
      </c>
      <c r="F206" s="36">
        <f t="shared" si="13"/>
        <v>17388</v>
      </c>
      <c r="G206" s="36">
        <v>-17945</v>
      </c>
      <c r="H206" s="36">
        <v>-197</v>
      </c>
      <c r="I206" s="36">
        <f t="shared" si="14"/>
        <v>17748</v>
      </c>
      <c r="J206" s="37">
        <f t="shared" ref="J206:J269" si="17">AVERAGE(F206,I206)</f>
        <v>17568</v>
      </c>
      <c r="K206" s="38">
        <f t="shared" si="15"/>
        <v>9.4229593289724438E-4</v>
      </c>
      <c r="L206" s="37">
        <f>'Social- och hälsovårdskostnader'!$K206*$L$14</f>
        <v>18649.35186669838</v>
      </c>
      <c r="M206" s="36">
        <v>-153.49447000000001</v>
      </c>
      <c r="N206" s="239">
        <f t="shared" si="16"/>
        <v>18495857.396698378</v>
      </c>
      <c r="Q206" s="44"/>
      <c r="R206" s="44"/>
      <c r="S206" s="44"/>
      <c r="T206" s="44"/>
      <c r="U206" s="39"/>
      <c r="AE206" s="40"/>
      <c r="AF206" s="7"/>
      <c r="AG206" s="7"/>
      <c r="AH206" s="7"/>
      <c r="AI206" s="9"/>
      <c r="AJ206" s="9"/>
      <c r="AK206" s="9"/>
    </row>
    <row r="207" spans="1:37" x14ac:dyDescent="0.35">
      <c r="A207" s="34">
        <v>615</v>
      </c>
      <c r="B207" s="34" t="s">
        <v>249</v>
      </c>
      <c r="C207" s="35">
        <f>Bestämningsfaktor_kommunvis!C197</f>
        <v>17</v>
      </c>
      <c r="D207" s="36">
        <v>-36059</v>
      </c>
      <c r="E207" s="36">
        <v>-372</v>
      </c>
      <c r="F207" s="36">
        <f t="shared" ref="F207:F270" si="18">-(D207-E207)</f>
        <v>35687</v>
      </c>
      <c r="G207" s="36">
        <v>-37044</v>
      </c>
      <c r="H207" s="36">
        <v>-426</v>
      </c>
      <c r="I207" s="36">
        <f t="shared" ref="I207:I270" si="19">-(G207-H207)</f>
        <v>36618</v>
      </c>
      <c r="J207" s="37">
        <f t="shared" si="17"/>
        <v>36152.5</v>
      </c>
      <c r="K207" s="38">
        <f t="shared" si="15"/>
        <v>1.93911394091915E-3</v>
      </c>
      <c r="L207" s="37">
        <f>'Social- och hälsovårdskostnader'!$K207*$L$14</f>
        <v>38377.771707696564</v>
      </c>
      <c r="M207" s="36">
        <v>-305.95616999999999</v>
      </c>
      <c r="N207" s="239">
        <f t="shared" si="16"/>
        <v>38071815.537696563</v>
      </c>
      <c r="Q207" s="44"/>
      <c r="R207" s="44"/>
      <c r="S207" s="44"/>
      <c r="T207" s="44"/>
      <c r="U207" s="39"/>
      <c r="AE207" s="40"/>
      <c r="AF207" s="7"/>
      <c r="AG207" s="7"/>
      <c r="AH207" s="7"/>
      <c r="AI207" s="9"/>
      <c r="AJ207" s="9"/>
      <c r="AK207" s="9"/>
    </row>
    <row r="208" spans="1:37" x14ac:dyDescent="0.35">
      <c r="A208" s="34">
        <v>616</v>
      </c>
      <c r="B208" s="34" t="s">
        <v>250</v>
      </c>
      <c r="C208" s="35">
        <f>Bestämningsfaktor_kommunvis!C198</f>
        <v>34</v>
      </c>
      <c r="D208" s="36">
        <v>-6202</v>
      </c>
      <c r="E208" s="36">
        <v>-51</v>
      </c>
      <c r="F208" s="36">
        <f t="shared" si="18"/>
        <v>6151</v>
      </c>
      <c r="G208" s="36">
        <v>-6214</v>
      </c>
      <c r="H208" s="36">
        <v>-50</v>
      </c>
      <c r="I208" s="36">
        <f t="shared" si="19"/>
        <v>6164</v>
      </c>
      <c r="J208" s="37">
        <f t="shared" si="17"/>
        <v>6157.5</v>
      </c>
      <c r="K208" s="38">
        <f t="shared" ref="K208:K271" si="20">J208/$J$14</f>
        <v>3.3027021896714381E-4</v>
      </c>
      <c r="L208" s="37">
        <f>'Social- och hälsovårdskostnader'!$K208*$L$14</f>
        <v>6536.508658879513</v>
      </c>
      <c r="M208" s="36">
        <v>-131.09141</v>
      </c>
      <c r="N208" s="239">
        <f t="shared" ref="N208:N271" si="21">(L208+M208)*1000</f>
        <v>6405417.2488795128</v>
      </c>
      <c r="Q208" s="44"/>
      <c r="R208" s="44"/>
      <c r="S208" s="44"/>
      <c r="T208" s="44"/>
      <c r="U208" s="39"/>
      <c r="AE208" s="40"/>
      <c r="AF208" s="7"/>
      <c r="AG208" s="7"/>
      <c r="AH208" s="7"/>
      <c r="AI208" s="9"/>
      <c r="AJ208" s="9"/>
      <c r="AK208" s="9"/>
    </row>
    <row r="209" spans="1:37" x14ac:dyDescent="0.35">
      <c r="A209" s="34">
        <v>619</v>
      </c>
      <c r="B209" s="34" t="s">
        <v>251</v>
      </c>
      <c r="C209" s="35">
        <f>Bestämningsfaktor_kommunvis!C199</f>
        <v>6</v>
      </c>
      <c r="D209" s="36">
        <v>-11965</v>
      </c>
      <c r="E209" s="36">
        <v>-69</v>
      </c>
      <c r="F209" s="36">
        <f t="shared" si="18"/>
        <v>11896</v>
      </c>
      <c r="G209" s="36">
        <v>-12163</v>
      </c>
      <c r="H209" s="36">
        <v>-72</v>
      </c>
      <c r="I209" s="36">
        <f t="shared" si="19"/>
        <v>12091</v>
      </c>
      <c r="J209" s="37">
        <f t="shared" si="17"/>
        <v>11993.5</v>
      </c>
      <c r="K209" s="38">
        <f t="shared" si="20"/>
        <v>6.4329612199471198E-4</v>
      </c>
      <c r="L209" s="37">
        <f>'Social- och hälsovårdskostnader'!$K209*$L$14</f>
        <v>12731.728233905227</v>
      </c>
      <c r="M209" s="36">
        <v>-7.4357100000000003</v>
      </c>
      <c r="N209" s="239">
        <f t="shared" si="21"/>
        <v>12724292.523905227</v>
      </c>
      <c r="Q209" s="44"/>
      <c r="R209" s="44"/>
      <c r="S209" s="44"/>
      <c r="T209" s="44"/>
      <c r="U209" s="39"/>
      <c r="AE209" s="40"/>
      <c r="AF209" s="7"/>
      <c r="AG209" s="7"/>
      <c r="AH209" s="7"/>
      <c r="AI209" s="9"/>
      <c r="AJ209" s="9"/>
      <c r="AK209" s="9"/>
    </row>
    <row r="210" spans="1:37" x14ac:dyDescent="0.35">
      <c r="A210" s="34">
        <v>620</v>
      </c>
      <c r="B210" s="34" t="s">
        <v>252</v>
      </c>
      <c r="C210" s="35">
        <f>Bestämningsfaktor_kommunvis!C200</f>
        <v>18</v>
      </c>
      <c r="D210" s="36">
        <v>-15719</v>
      </c>
      <c r="E210" s="36">
        <v>-131</v>
      </c>
      <c r="F210" s="36">
        <f t="shared" si="18"/>
        <v>15588</v>
      </c>
      <c r="G210" s="36">
        <v>-15697</v>
      </c>
      <c r="H210" s="36">
        <v>-110</v>
      </c>
      <c r="I210" s="36">
        <f t="shared" si="19"/>
        <v>15587</v>
      </c>
      <c r="J210" s="37">
        <f t="shared" si="17"/>
        <v>15587.5</v>
      </c>
      <c r="K210" s="38">
        <f t="shared" si="20"/>
        <v>8.3606772848564411E-4</v>
      </c>
      <c r="L210" s="37">
        <f>'Social- och hälsovårdskostnader'!$K210*$L$14</f>
        <v>16546.94741701736</v>
      </c>
      <c r="M210" s="36">
        <v>-168.06664000000001</v>
      </c>
      <c r="N210" s="239">
        <f t="shared" si="21"/>
        <v>16378880.777017359</v>
      </c>
      <c r="Q210" s="44"/>
      <c r="R210" s="44"/>
      <c r="S210" s="44"/>
      <c r="T210" s="44"/>
      <c r="U210" s="39"/>
      <c r="AE210" s="40"/>
      <c r="AF210" s="7"/>
      <c r="AG210" s="7"/>
      <c r="AH210" s="7"/>
      <c r="AI210" s="9"/>
      <c r="AJ210" s="9"/>
      <c r="AK210" s="9"/>
    </row>
    <row r="211" spans="1:37" x14ac:dyDescent="0.35">
      <c r="A211" s="34">
        <v>623</v>
      </c>
      <c r="B211" s="34" t="s">
        <v>253</v>
      </c>
      <c r="C211" s="35">
        <f>Bestämningsfaktor_kommunvis!C201</f>
        <v>10</v>
      </c>
      <c r="D211" s="36">
        <v>-9863</v>
      </c>
      <c r="E211" s="36">
        <v>-78</v>
      </c>
      <c r="F211" s="36">
        <f t="shared" si="18"/>
        <v>9785</v>
      </c>
      <c r="G211" s="36">
        <v>-10387</v>
      </c>
      <c r="H211" s="36">
        <v>-74</v>
      </c>
      <c r="I211" s="36">
        <f t="shared" si="19"/>
        <v>10313</v>
      </c>
      <c r="J211" s="37">
        <f t="shared" si="17"/>
        <v>10049</v>
      </c>
      <c r="K211" s="38">
        <f t="shared" si="20"/>
        <v>5.3899885187183561E-4</v>
      </c>
      <c r="L211" s="37">
        <f>'Social- och hälsovårdskostnader'!$K211*$L$14</f>
        <v>10667.539669196949</v>
      </c>
      <c r="M211" s="36">
        <v>-94.704080000000005</v>
      </c>
      <c r="N211" s="239">
        <f t="shared" si="21"/>
        <v>10572835.58919695</v>
      </c>
      <c r="Q211" s="44"/>
      <c r="R211" s="44"/>
      <c r="S211" s="44"/>
      <c r="T211" s="44"/>
      <c r="U211" s="39"/>
      <c r="AE211" s="40"/>
      <c r="AF211" s="7"/>
      <c r="AG211" s="7"/>
      <c r="AH211" s="7"/>
      <c r="AI211" s="9"/>
      <c r="AJ211" s="9"/>
      <c r="AK211" s="9"/>
    </row>
    <row r="212" spans="1:37" x14ac:dyDescent="0.35">
      <c r="A212" s="34">
        <v>624</v>
      </c>
      <c r="B212" s="34" t="s">
        <v>254</v>
      </c>
      <c r="C212" s="35">
        <f>Bestämningsfaktor_kommunvis!C202</f>
        <v>8</v>
      </c>
      <c r="D212" s="36">
        <v>-17725</v>
      </c>
      <c r="E212" s="36">
        <v>-151</v>
      </c>
      <c r="F212" s="36">
        <f t="shared" si="18"/>
        <v>17574</v>
      </c>
      <c r="G212" s="36">
        <v>-17501</v>
      </c>
      <c r="H212" s="36">
        <v>-139</v>
      </c>
      <c r="I212" s="36">
        <f t="shared" si="19"/>
        <v>17362</v>
      </c>
      <c r="J212" s="37">
        <f t="shared" si="17"/>
        <v>17468</v>
      </c>
      <c r="K212" s="38">
        <f t="shared" si="20"/>
        <v>9.369322265396781E-4</v>
      </c>
      <c r="L212" s="37">
        <f>'Social- och hälsovårdskostnader'!$K212*$L$14</f>
        <v>18543.196630662984</v>
      </c>
      <c r="M212" s="36">
        <v>-310.00484999999998</v>
      </c>
      <c r="N212" s="239">
        <f t="shared" si="21"/>
        <v>18233191.780662984</v>
      </c>
      <c r="Q212" s="44"/>
      <c r="R212" s="44"/>
      <c r="S212" s="44"/>
      <c r="T212" s="44"/>
      <c r="U212" s="39"/>
      <c r="AE212" s="40"/>
      <c r="AF212" s="7"/>
      <c r="AG212" s="7"/>
      <c r="AH212" s="7"/>
      <c r="AI212" s="9"/>
      <c r="AJ212" s="9"/>
      <c r="AK212" s="9"/>
    </row>
    <row r="213" spans="1:37" x14ac:dyDescent="0.35">
      <c r="A213" s="34">
        <v>625</v>
      </c>
      <c r="B213" s="34" t="s">
        <v>255</v>
      </c>
      <c r="C213" s="35">
        <f>Bestämningsfaktor_kommunvis!C203</f>
        <v>17</v>
      </c>
      <c r="D213" s="36">
        <v>-10609</v>
      </c>
      <c r="E213" s="36">
        <v>-65</v>
      </c>
      <c r="F213" s="36">
        <f t="shared" si="18"/>
        <v>10544</v>
      </c>
      <c r="G213" s="36">
        <v>-11899</v>
      </c>
      <c r="H213" s="36">
        <v>-64</v>
      </c>
      <c r="I213" s="36">
        <f t="shared" si="19"/>
        <v>11835</v>
      </c>
      <c r="J213" s="37">
        <f t="shared" si="17"/>
        <v>11189.5</v>
      </c>
      <c r="K213" s="38">
        <f t="shared" si="20"/>
        <v>6.0017192287987911E-4</v>
      </c>
      <c r="L213" s="37">
        <f>'Social- och hälsovårdskostnader'!$K213*$L$14</f>
        <v>11878.240136180642</v>
      </c>
      <c r="M213" s="36">
        <v>-102.4605</v>
      </c>
      <c r="N213" s="239">
        <f t="shared" si="21"/>
        <v>11775779.636180643</v>
      </c>
      <c r="Q213" s="44"/>
      <c r="R213" s="44"/>
      <c r="S213" s="44"/>
      <c r="T213" s="44"/>
      <c r="U213" s="39"/>
      <c r="AE213" s="40"/>
      <c r="AF213" s="7"/>
      <c r="AG213" s="7"/>
      <c r="AH213" s="7"/>
      <c r="AI213" s="9"/>
      <c r="AJ213" s="9"/>
      <c r="AK213" s="9"/>
    </row>
    <row r="214" spans="1:37" x14ac:dyDescent="0.35">
      <c r="A214" s="34">
        <v>626</v>
      </c>
      <c r="B214" s="34" t="s">
        <v>256</v>
      </c>
      <c r="C214" s="35">
        <f>Bestämningsfaktor_kommunvis!C204</f>
        <v>17</v>
      </c>
      <c r="D214" s="36">
        <v>-25413</v>
      </c>
      <c r="E214" s="36">
        <v>-228</v>
      </c>
      <c r="F214" s="36">
        <f t="shared" si="18"/>
        <v>25185</v>
      </c>
      <c r="G214" s="36">
        <v>-26787</v>
      </c>
      <c r="H214" s="36">
        <v>-225</v>
      </c>
      <c r="I214" s="36">
        <f t="shared" si="19"/>
        <v>26562</v>
      </c>
      <c r="J214" s="37">
        <f t="shared" si="17"/>
        <v>25873.5</v>
      </c>
      <c r="K214" s="38">
        <f t="shared" si="20"/>
        <v>1.3877785644249119E-3</v>
      </c>
      <c r="L214" s="37">
        <f>'Social- och hälsovårdskostnader'!$K214*$L$14</f>
        <v>27466.074995618201</v>
      </c>
      <c r="M214" s="36">
        <v>-186.89755</v>
      </c>
      <c r="N214" s="239">
        <f t="shared" si="21"/>
        <v>27279177.445618201</v>
      </c>
      <c r="Q214" s="44"/>
      <c r="R214" s="44"/>
      <c r="S214" s="44"/>
      <c r="T214" s="44"/>
      <c r="U214" s="39"/>
      <c r="AE214" s="40"/>
      <c r="AF214" s="7"/>
      <c r="AG214" s="7"/>
      <c r="AH214" s="7"/>
      <c r="AI214" s="9"/>
      <c r="AJ214" s="9"/>
      <c r="AK214" s="9"/>
    </row>
    <row r="215" spans="1:37" x14ac:dyDescent="0.35">
      <c r="A215" s="34">
        <v>630</v>
      </c>
      <c r="B215" s="34" t="s">
        <v>257</v>
      </c>
      <c r="C215" s="35">
        <f>Bestämningsfaktor_kommunvis!C205</f>
        <v>17</v>
      </c>
      <c r="D215" s="36">
        <v>-5706</v>
      </c>
      <c r="E215" s="36">
        <v>-51</v>
      </c>
      <c r="F215" s="36">
        <f t="shared" si="18"/>
        <v>5655</v>
      </c>
      <c r="G215" s="36">
        <v>-5908</v>
      </c>
      <c r="H215" s="36">
        <v>-61</v>
      </c>
      <c r="I215" s="36">
        <f t="shared" si="19"/>
        <v>5847</v>
      </c>
      <c r="J215" s="37">
        <f t="shared" si="17"/>
        <v>5751</v>
      </c>
      <c r="K215" s="38">
        <f t="shared" si="20"/>
        <v>3.0846675262363683E-4</v>
      </c>
      <c r="L215" s="37">
        <f>'Social- och hälsovårdskostnader'!$K215*$L$14</f>
        <v>6104.9876243956269</v>
      </c>
      <c r="M215" s="36">
        <v>-33.595269999999999</v>
      </c>
      <c r="N215" s="239">
        <f t="shared" si="21"/>
        <v>6071392.354395627</v>
      </c>
      <c r="Q215" s="44"/>
      <c r="R215" s="44"/>
      <c r="S215" s="44"/>
      <c r="T215" s="44"/>
      <c r="U215" s="39"/>
      <c r="AE215" s="40"/>
      <c r="AF215" s="7"/>
      <c r="AG215" s="7"/>
      <c r="AH215" s="7"/>
      <c r="AI215" s="9"/>
      <c r="AJ215" s="9"/>
      <c r="AK215" s="9"/>
    </row>
    <row r="216" spans="1:37" x14ac:dyDescent="0.35">
      <c r="A216" s="34">
        <v>631</v>
      </c>
      <c r="B216" s="34" t="s">
        <v>258</v>
      </c>
      <c r="C216" s="35">
        <f>Bestämningsfaktor_kommunvis!C206</f>
        <v>2</v>
      </c>
      <c r="D216" s="36">
        <v>-6790</v>
      </c>
      <c r="E216" s="36">
        <v>-22</v>
      </c>
      <c r="F216" s="36">
        <f t="shared" si="18"/>
        <v>6768</v>
      </c>
      <c r="G216" s="36">
        <v>-6568</v>
      </c>
      <c r="H216" s="36">
        <v>-28</v>
      </c>
      <c r="I216" s="36">
        <f t="shared" si="19"/>
        <v>6540</v>
      </c>
      <c r="J216" s="37">
        <f t="shared" si="17"/>
        <v>6654</v>
      </c>
      <c r="K216" s="38">
        <f t="shared" si="20"/>
        <v>3.5690102103246035E-4</v>
      </c>
      <c r="L216" s="37">
        <f>'Social- och hälsovårdskostnader'!$K216*$L$14</f>
        <v>7063.5694057952533</v>
      </c>
      <c r="M216" s="36">
        <v>-57.187730000000002</v>
      </c>
      <c r="N216" s="239">
        <f t="shared" si="21"/>
        <v>7006381.6757952534</v>
      </c>
      <c r="Q216" s="44"/>
      <c r="R216" s="44"/>
      <c r="S216" s="44"/>
      <c r="T216" s="44"/>
      <c r="U216" s="39"/>
      <c r="AE216" s="40"/>
      <c r="AF216" s="7"/>
      <c r="AG216" s="7"/>
      <c r="AH216" s="7"/>
      <c r="AI216" s="9"/>
      <c r="AJ216" s="9"/>
      <c r="AK216" s="9"/>
    </row>
    <row r="217" spans="1:37" x14ac:dyDescent="0.35">
      <c r="A217" s="34">
        <v>635</v>
      </c>
      <c r="B217" s="34" t="s">
        <v>259</v>
      </c>
      <c r="C217" s="35">
        <f>Bestämningsfaktor_kommunvis!C207</f>
        <v>6</v>
      </c>
      <c r="D217" s="36">
        <v>-25909</v>
      </c>
      <c r="E217" s="36">
        <v>-101</v>
      </c>
      <c r="F217" s="36">
        <f t="shared" si="18"/>
        <v>25808</v>
      </c>
      <c r="G217" s="36">
        <v>-24681</v>
      </c>
      <c r="H217" s="36">
        <v>-99</v>
      </c>
      <c r="I217" s="36">
        <f t="shared" si="19"/>
        <v>24582</v>
      </c>
      <c r="J217" s="37">
        <f t="shared" si="17"/>
        <v>25195</v>
      </c>
      <c r="K217" s="38">
        <f t="shared" si="20"/>
        <v>1.3513858167888246E-3</v>
      </c>
      <c r="L217" s="37">
        <f>'Social- och hälsovårdskostnader'!$K217*$L$14</f>
        <v>26745.811719118035</v>
      </c>
      <c r="M217" s="36">
        <v>-182.54404</v>
      </c>
      <c r="N217" s="239">
        <f t="shared" si="21"/>
        <v>26563267.679118033</v>
      </c>
      <c r="Q217" s="44"/>
      <c r="R217" s="44"/>
      <c r="S217" s="44"/>
      <c r="T217" s="44"/>
      <c r="U217" s="39"/>
      <c r="AE217" s="40"/>
      <c r="AF217" s="7"/>
      <c r="AG217" s="7"/>
      <c r="AH217" s="7"/>
      <c r="AI217" s="9"/>
      <c r="AJ217" s="9"/>
      <c r="AK217" s="9"/>
    </row>
    <row r="218" spans="1:37" x14ac:dyDescent="0.35">
      <c r="A218" s="34">
        <v>636</v>
      </c>
      <c r="B218" s="34" t="s">
        <v>260</v>
      </c>
      <c r="C218" s="35">
        <f>Bestämningsfaktor_kommunvis!C208</f>
        <v>2</v>
      </c>
      <c r="D218" s="36">
        <v>-28038</v>
      </c>
      <c r="E218" s="36">
        <v>-162</v>
      </c>
      <c r="F218" s="36">
        <f t="shared" si="18"/>
        <v>27876</v>
      </c>
      <c r="G218" s="36">
        <v>-29608</v>
      </c>
      <c r="H218" s="36">
        <v>-158</v>
      </c>
      <c r="I218" s="36">
        <f t="shared" si="19"/>
        <v>29450</v>
      </c>
      <c r="J218" s="37">
        <f t="shared" si="17"/>
        <v>28663</v>
      </c>
      <c r="K218" s="38">
        <f t="shared" si="20"/>
        <v>1.5373991532692233E-3</v>
      </c>
      <c r="L218" s="37">
        <f>'Social- och hälsovårdskostnader'!$K218*$L$14</f>
        <v>30427.275304825573</v>
      </c>
      <c r="M218" s="36">
        <v>-338.96322999999995</v>
      </c>
      <c r="N218" s="239">
        <f t="shared" si="21"/>
        <v>30088312.07482557</v>
      </c>
      <c r="Q218" s="44"/>
      <c r="R218" s="44"/>
      <c r="S218" s="44"/>
      <c r="T218" s="44"/>
      <c r="U218" s="39"/>
      <c r="AE218" s="40"/>
      <c r="AF218" s="7"/>
      <c r="AG218" s="7"/>
      <c r="AH218" s="7"/>
      <c r="AI218" s="9"/>
      <c r="AJ218" s="9"/>
      <c r="AK218" s="9"/>
    </row>
    <row r="219" spans="1:37" x14ac:dyDescent="0.35">
      <c r="A219" s="34">
        <v>638</v>
      </c>
      <c r="B219" s="34" t="s">
        <v>261</v>
      </c>
      <c r="C219" s="35">
        <f>Bestämningsfaktor_kommunvis!C209</f>
        <v>34</v>
      </c>
      <c r="D219" s="36">
        <v>-147720</v>
      </c>
      <c r="E219" s="36">
        <v>-904</v>
      </c>
      <c r="F219" s="36">
        <f t="shared" si="18"/>
        <v>146816</v>
      </c>
      <c r="G219" s="36">
        <v>-157099</v>
      </c>
      <c r="H219" s="36">
        <v>-917</v>
      </c>
      <c r="I219" s="36">
        <f t="shared" si="19"/>
        <v>156182</v>
      </c>
      <c r="J219" s="37">
        <f t="shared" si="17"/>
        <v>151499</v>
      </c>
      <c r="K219" s="38">
        <f t="shared" si="20"/>
        <v>8.1259614946493416E-3</v>
      </c>
      <c r="L219" s="37">
        <f>'Social- och hälsovårdskostnader'!$K219*$L$14</f>
        <v>160824.12104126468</v>
      </c>
      <c r="M219" s="36">
        <v>-3984.14183</v>
      </c>
      <c r="N219" s="239">
        <f t="shared" si="21"/>
        <v>156839979.21126467</v>
      </c>
      <c r="Q219" s="44"/>
      <c r="R219" s="44"/>
      <c r="S219" s="44"/>
      <c r="T219" s="44"/>
      <c r="U219" s="39"/>
      <c r="AE219" s="40"/>
      <c r="AF219" s="7"/>
      <c r="AG219" s="7"/>
      <c r="AH219" s="7"/>
      <c r="AI219" s="9"/>
      <c r="AJ219" s="9"/>
      <c r="AK219" s="9"/>
    </row>
    <row r="220" spans="1:37" x14ac:dyDescent="0.35">
      <c r="A220" s="34">
        <v>678</v>
      </c>
      <c r="B220" s="34" t="s">
        <v>262</v>
      </c>
      <c r="C220" s="35">
        <f>Bestämningsfaktor_kommunvis!C210</f>
        <v>17</v>
      </c>
      <c r="D220" s="36">
        <v>-86311</v>
      </c>
      <c r="E220" s="36">
        <v>-557</v>
      </c>
      <c r="F220" s="36">
        <f t="shared" si="18"/>
        <v>85754</v>
      </c>
      <c r="G220" s="36">
        <v>-93569</v>
      </c>
      <c r="H220" s="36">
        <v>-595</v>
      </c>
      <c r="I220" s="36">
        <f t="shared" si="19"/>
        <v>92974</v>
      </c>
      <c r="J220" s="37">
        <f t="shared" si="17"/>
        <v>89364</v>
      </c>
      <c r="K220" s="38">
        <f t="shared" si="20"/>
        <v>4.7932225493755318E-3</v>
      </c>
      <c r="L220" s="37">
        <f>'Social- och hälsovårdskostnader'!$K220*$L$14</f>
        <v>94864.565130671341</v>
      </c>
      <c r="M220" s="36">
        <v>-1318.13967</v>
      </c>
      <c r="N220" s="239">
        <f t="shared" si="21"/>
        <v>93546425.460671335</v>
      </c>
      <c r="Q220" s="44"/>
      <c r="R220" s="44"/>
      <c r="S220" s="44"/>
      <c r="T220" s="44"/>
      <c r="U220" s="39"/>
      <c r="AE220" s="40"/>
      <c r="AF220" s="7"/>
      <c r="AG220" s="7"/>
      <c r="AH220" s="7"/>
      <c r="AI220" s="9"/>
      <c r="AJ220" s="9"/>
      <c r="AK220" s="9"/>
    </row>
    <row r="221" spans="1:37" x14ac:dyDescent="0.35">
      <c r="A221" s="34">
        <v>680</v>
      </c>
      <c r="B221" s="34" t="s">
        <v>263</v>
      </c>
      <c r="C221" s="35">
        <f>Bestämningsfaktor_kommunvis!C211</f>
        <v>2</v>
      </c>
      <c r="D221" s="36">
        <v>-78782</v>
      </c>
      <c r="E221" s="36">
        <v>-154</v>
      </c>
      <c r="F221" s="36">
        <f t="shared" si="18"/>
        <v>78628</v>
      </c>
      <c r="G221" s="36">
        <v>-81910</v>
      </c>
      <c r="H221" s="36">
        <v>-130</v>
      </c>
      <c r="I221" s="36">
        <f t="shared" si="19"/>
        <v>81780</v>
      </c>
      <c r="J221" s="37">
        <f t="shared" si="17"/>
        <v>80204</v>
      </c>
      <c r="K221" s="38">
        <f t="shared" si="20"/>
        <v>4.3019070470224604E-3</v>
      </c>
      <c r="L221" s="37">
        <f>'Social- och hälsovårdskostnader'!$K221*$L$14</f>
        <v>85140.745509829052</v>
      </c>
      <c r="M221" s="36">
        <v>-813.53489000000002</v>
      </c>
      <c r="N221" s="239">
        <f t="shared" si="21"/>
        <v>84327210.619829059</v>
      </c>
      <c r="Q221" s="44"/>
      <c r="R221" s="44"/>
      <c r="S221" s="44"/>
      <c r="T221" s="44"/>
      <c r="U221" s="39"/>
      <c r="AE221" s="40"/>
      <c r="AF221" s="7"/>
      <c r="AG221" s="7"/>
      <c r="AH221" s="7"/>
      <c r="AI221" s="9"/>
      <c r="AJ221" s="9"/>
      <c r="AK221" s="9"/>
    </row>
    <row r="222" spans="1:37" x14ac:dyDescent="0.35">
      <c r="A222" s="34">
        <v>681</v>
      </c>
      <c r="B222" s="34" t="s">
        <v>264</v>
      </c>
      <c r="C222" s="35">
        <f>Bestämningsfaktor_kommunvis!C212</f>
        <v>10</v>
      </c>
      <c r="D222" s="36">
        <v>-14939</v>
      </c>
      <c r="E222" s="36">
        <v>-196</v>
      </c>
      <c r="F222" s="36">
        <f t="shared" si="18"/>
        <v>14743</v>
      </c>
      <c r="G222" s="36">
        <v>-15142</v>
      </c>
      <c r="H222" s="36">
        <v>-177</v>
      </c>
      <c r="I222" s="36">
        <f t="shared" si="19"/>
        <v>14965</v>
      </c>
      <c r="J222" s="37">
        <f t="shared" si="17"/>
        <v>14854</v>
      </c>
      <c r="K222" s="38">
        <f t="shared" si="20"/>
        <v>7.9672494235289543E-4</v>
      </c>
      <c r="L222" s="37">
        <f>'Social- och hälsovårdskostnader'!$K222*$L$14</f>
        <v>15768.298760697729</v>
      </c>
      <c r="M222" s="36">
        <v>-154.48201</v>
      </c>
      <c r="N222" s="239">
        <f t="shared" si="21"/>
        <v>15613816.75069773</v>
      </c>
      <c r="Q222" s="44"/>
      <c r="R222" s="44"/>
      <c r="S222" s="44"/>
      <c r="T222" s="44"/>
      <c r="U222" s="39"/>
      <c r="AE222" s="40"/>
      <c r="AF222" s="7"/>
      <c r="AG222" s="7"/>
      <c r="AH222" s="7"/>
      <c r="AI222" s="9"/>
      <c r="AJ222" s="9"/>
      <c r="AK222" s="9"/>
    </row>
    <row r="223" spans="1:37" x14ac:dyDescent="0.35">
      <c r="A223" s="34">
        <v>683</v>
      </c>
      <c r="B223" s="34" t="s">
        <v>265</v>
      </c>
      <c r="C223" s="35">
        <f>Bestämningsfaktor_kommunvis!C213</f>
        <v>19</v>
      </c>
      <c r="D223" s="36">
        <v>-17474</v>
      </c>
      <c r="E223" s="36">
        <v>-142</v>
      </c>
      <c r="F223" s="36">
        <f t="shared" si="18"/>
        <v>17332</v>
      </c>
      <c r="G223" s="36">
        <v>-17797</v>
      </c>
      <c r="H223" s="36">
        <v>-168</v>
      </c>
      <c r="I223" s="36">
        <f t="shared" si="19"/>
        <v>17629</v>
      </c>
      <c r="J223" s="37">
        <f t="shared" si="17"/>
        <v>17480.5</v>
      </c>
      <c r="K223" s="38">
        <f t="shared" si="20"/>
        <v>9.3760268983437381E-4</v>
      </c>
      <c r="L223" s="37">
        <f>'Social- och hälsovårdskostnader'!$K223*$L$14</f>
        <v>18556.466035167407</v>
      </c>
      <c r="M223" s="36">
        <v>-149.62383</v>
      </c>
      <c r="N223" s="239">
        <f t="shared" si="21"/>
        <v>18406842.205167405</v>
      </c>
      <c r="Q223" s="44"/>
      <c r="R223" s="44"/>
      <c r="S223" s="44"/>
      <c r="T223" s="44"/>
      <c r="U223" s="39"/>
      <c r="AE223" s="40"/>
      <c r="AF223" s="7"/>
      <c r="AG223" s="7"/>
      <c r="AH223" s="7"/>
    </row>
    <row r="224" spans="1:37" x14ac:dyDescent="0.35">
      <c r="A224" s="34">
        <v>684</v>
      </c>
      <c r="B224" s="34" t="s">
        <v>266</v>
      </c>
      <c r="C224" s="35">
        <f>Bestämningsfaktor_kommunvis!C214</f>
        <v>4</v>
      </c>
      <c r="D224" s="36">
        <v>-137928</v>
      </c>
      <c r="E224" s="36">
        <v>-707</v>
      </c>
      <c r="F224" s="36">
        <f t="shared" si="18"/>
        <v>137221</v>
      </c>
      <c r="G224" s="36">
        <v>-139943</v>
      </c>
      <c r="H224" s="36">
        <v>-744</v>
      </c>
      <c r="I224" s="36">
        <f t="shared" si="19"/>
        <v>139199</v>
      </c>
      <c r="J224" s="37">
        <f t="shared" si="17"/>
        <v>138210</v>
      </c>
      <c r="K224" s="38">
        <f t="shared" si="20"/>
        <v>7.4131785567923573E-3</v>
      </c>
      <c r="L224" s="37">
        <f>'Social- och hälsovårdskostnader'!$K224*$L$14</f>
        <v>146717.1517245209</v>
      </c>
      <c r="M224" s="36">
        <v>-1969.63024</v>
      </c>
      <c r="N224" s="239">
        <f t="shared" si="21"/>
        <v>144747521.48452091</v>
      </c>
      <c r="Q224" s="44"/>
      <c r="R224" s="44"/>
      <c r="S224" s="44"/>
      <c r="T224" s="44"/>
      <c r="U224" s="39"/>
      <c r="AE224" s="40"/>
      <c r="AF224" s="7"/>
      <c r="AG224" s="7"/>
      <c r="AH224" s="7"/>
    </row>
    <row r="225" spans="1:34" x14ac:dyDescent="0.35">
      <c r="A225" s="34">
        <v>686</v>
      </c>
      <c r="B225" s="34" t="s">
        <v>267</v>
      </c>
      <c r="C225" s="35">
        <f>Bestämningsfaktor_kommunvis!C215</f>
        <v>11</v>
      </c>
      <c r="D225" s="36">
        <v>-14556</v>
      </c>
      <c r="E225" s="36">
        <v>-183</v>
      </c>
      <c r="F225" s="36">
        <f t="shared" si="18"/>
        <v>14373</v>
      </c>
      <c r="G225" s="36">
        <v>-15078</v>
      </c>
      <c r="H225" s="36">
        <v>-198</v>
      </c>
      <c r="I225" s="36">
        <f t="shared" si="19"/>
        <v>14880</v>
      </c>
      <c r="J225" s="37">
        <f t="shared" si="17"/>
        <v>14626.5</v>
      </c>
      <c r="K225" s="38">
        <f t="shared" si="20"/>
        <v>7.8452251038943217E-4</v>
      </c>
      <c r="L225" s="37">
        <f>'Social- och hälsovårdskostnader'!$K225*$L$14</f>
        <v>15526.795598717204</v>
      </c>
      <c r="M225" s="36">
        <v>-80.997710000000012</v>
      </c>
      <c r="N225" s="239">
        <f t="shared" si="21"/>
        <v>15445797.888717204</v>
      </c>
      <c r="Q225" s="44"/>
      <c r="R225" s="44"/>
      <c r="S225" s="44"/>
      <c r="T225" s="44"/>
      <c r="U225" s="39"/>
      <c r="AE225" s="40"/>
      <c r="AF225" s="7"/>
      <c r="AG225" s="7"/>
      <c r="AH225" s="7"/>
    </row>
    <row r="226" spans="1:34" x14ac:dyDescent="0.35">
      <c r="A226" s="34">
        <v>687</v>
      </c>
      <c r="B226" s="34" t="s">
        <v>268</v>
      </c>
      <c r="C226" s="35">
        <f>Bestämningsfaktor_kommunvis!C216</f>
        <v>11</v>
      </c>
      <c r="D226" s="36">
        <v>-9174</v>
      </c>
      <c r="E226" s="36">
        <v>-78</v>
      </c>
      <c r="F226" s="36">
        <f t="shared" si="18"/>
        <v>9096</v>
      </c>
      <c r="G226" s="36">
        <v>-9629</v>
      </c>
      <c r="H226" s="36">
        <v>-76</v>
      </c>
      <c r="I226" s="36">
        <f t="shared" si="19"/>
        <v>9553</v>
      </c>
      <c r="J226" s="37">
        <f t="shared" si="17"/>
        <v>9324.5</v>
      </c>
      <c r="K226" s="38">
        <f t="shared" si="20"/>
        <v>5.001387993112679E-4</v>
      </c>
      <c r="L226" s="37">
        <f>'Social- och hälsovårdskostnader'!$K226*$L$14</f>
        <v>9898.444984120506</v>
      </c>
      <c r="M226" s="36">
        <v>-61.165660000000003</v>
      </c>
      <c r="N226" s="239">
        <f t="shared" si="21"/>
        <v>9837279.3241205048</v>
      </c>
      <c r="Q226" s="44"/>
      <c r="R226" s="44"/>
      <c r="S226" s="44"/>
      <c r="T226" s="44"/>
      <c r="U226" s="39"/>
      <c r="AE226" s="40"/>
      <c r="AF226" s="7"/>
      <c r="AG226" s="7"/>
      <c r="AH226" s="7"/>
    </row>
    <row r="227" spans="1:34" x14ac:dyDescent="0.35">
      <c r="A227" s="34">
        <v>689</v>
      </c>
      <c r="B227" s="34" t="s">
        <v>269</v>
      </c>
      <c r="C227" s="35">
        <f>Bestämningsfaktor_kommunvis!C217</f>
        <v>9</v>
      </c>
      <c r="D227" s="36">
        <v>-14062</v>
      </c>
      <c r="E227" s="36">
        <v>-54</v>
      </c>
      <c r="F227" s="36">
        <f t="shared" si="18"/>
        <v>14008</v>
      </c>
      <c r="G227" s="36">
        <v>-15253</v>
      </c>
      <c r="H227" s="36">
        <v>-49</v>
      </c>
      <c r="I227" s="36">
        <f t="shared" si="19"/>
        <v>15204</v>
      </c>
      <c r="J227" s="37">
        <f t="shared" si="17"/>
        <v>14606</v>
      </c>
      <c r="K227" s="38">
        <f t="shared" si="20"/>
        <v>7.8342295058613106E-4</v>
      </c>
      <c r="L227" s="37">
        <f>'Social- och hälsovårdskostnader'!$K227*$L$14</f>
        <v>15505.033775329948</v>
      </c>
      <c r="M227" s="36">
        <v>-175.75107</v>
      </c>
      <c r="N227" s="239">
        <f t="shared" si="21"/>
        <v>15329282.705329947</v>
      </c>
      <c r="Q227" s="44"/>
      <c r="R227" s="44"/>
      <c r="S227" s="44"/>
      <c r="T227" s="44"/>
      <c r="U227" s="39"/>
      <c r="AE227" s="40"/>
      <c r="AF227" s="7"/>
      <c r="AG227" s="7"/>
      <c r="AH227" s="7"/>
    </row>
    <row r="228" spans="1:34" x14ac:dyDescent="0.35">
      <c r="A228" s="34">
        <v>691</v>
      </c>
      <c r="B228" s="34" t="s">
        <v>270</v>
      </c>
      <c r="C228" s="35">
        <f>Bestämningsfaktor_kommunvis!C218</f>
        <v>17</v>
      </c>
      <c r="D228" s="36">
        <v>-12169</v>
      </c>
      <c r="E228" s="36">
        <v>-163</v>
      </c>
      <c r="F228" s="36">
        <f t="shared" si="18"/>
        <v>12006</v>
      </c>
      <c r="G228" s="36">
        <v>-11818</v>
      </c>
      <c r="H228" s="36">
        <v>-176</v>
      </c>
      <c r="I228" s="36">
        <f t="shared" si="19"/>
        <v>11642</v>
      </c>
      <c r="J228" s="37">
        <f t="shared" si="17"/>
        <v>11824</v>
      </c>
      <c r="K228" s="38">
        <f t="shared" si="20"/>
        <v>6.3420463971863709E-4</v>
      </c>
      <c r="L228" s="37">
        <f>'Social- och hälsovårdskostnader'!$K228*$L$14</f>
        <v>12551.795108825228</v>
      </c>
      <c r="M228" s="36">
        <v>-97.598219999999998</v>
      </c>
      <c r="N228" s="239">
        <f t="shared" si="21"/>
        <v>12454196.888825228</v>
      </c>
      <c r="Q228" s="44"/>
      <c r="R228" s="44"/>
      <c r="S228" s="44"/>
      <c r="T228" s="44"/>
      <c r="U228" s="39"/>
      <c r="AE228" s="40"/>
      <c r="AF228" s="7"/>
      <c r="AG228" s="7"/>
      <c r="AH228" s="7"/>
    </row>
    <row r="229" spans="1:34" x14ac:dyDescent="0.35">
      <c r="A229" s="34">
        <v>694</v>
      </c>
      <c r="B229" s="34" t="s">
        <v>271</v>
      </c>
      <c r="C229" s="35">
        <f>Bestämningsfaktor_kommunvis!C219</f>
        <v>5</v>
      </c>
      <c r="D229" s="36">
        <v>-93284</v>
      </c>
      <c r="E229" s="36">
        <v>-400</v>
      </c>
      <c r="F229" s="36">
        <f t="shared" si="18"/>
        <v>92884</v>
      </c>
      <c r="G229" s="36">
        <v>-96028</v>
      </c>
      <c r="H229" s="36">
        <v>-411</v>
      </c>
      <c r="I229" s="36">
        <f t="shared" si="19"/>
        <v>95617</v>
      </c>
      <c r="J229" s="37">
        <f t="shared" si="17"/>
        <v>94250.5</v>
      </c>
      <c r="K229" s="38">
        <f t="shared" si="20"/>
        <v>5.0553200605380081E-3</v>
      </c>
      <c r="L229" s="37">
        <f>'Social- och hälsovårdskostnader'!$K229*$L$14</f>
        <v>100051.84073954096</v>
      </c>
      <c r="M229" s="36">
        <v>-1291.8284799999999</v>
      </c>
      <c r="N229" s="239">
        <f t="shared" si="21"/>
        <v>98760012.25954096</v>
      </c>
      <c r="Q229" s="44"/>
      <c r="R229" s="44"/>
      <c r="S229" s="44"/>
      <c r="T229" s="44"/>
      <c r="U229" s="39"/>
      <c r="AE229" s="40"/>
      <c r="AF229" s="7"/>
      <c r="AG229" s="7"/>
      <c r="AH229" s="7"/>
    </row>
    <row r="230" spans="1:34" x14ac:dyDescent="0.35">
      <c r="A230" s="34">
        <v>697</v>
      </c>
      <c r="B230" s="34" t="s">
        <v>272</v>
      </c>
      <c r="C230" s="35">
        <f>Bestämningsfaktor_kommunvis!C220</f>
        <v>18</v>
      </c>
      <c r="D230" s="36">
        <v>-7588</v>
      </c>
      <c r="E230" s="36">
        <v>-40</v>
      </c>
      <c r="F230" s="36">
        <f t="shared" si="18"/>
        <v>7548</v>
      </c>
      <c r="G230" s="36">
        <v>-7581</v>
      </c>
      <c r="H230" s="36">
        <v>-40</v>
      </c>
      <c r="I230" s="36">
        <f t="shared" si="19"/>
        <v>7541</v>
      </c>
      <c r="J230" s="37">
        <f t="shared" si="17"/>
        <v>7544.5</v>
      </c>
      <c r="K230" s="38">
        <f t="shared" si="20"/>
        <v>4.046648261465881E-4</v>
      </c>
      <c r="L230" s="37">
        <f>'Social- och hälsovårdskostnader'!$K230*$L$14</f>
        <v>8008.8817826904551</v>
      </c>
      <c r="M230" s="36">
        <v>-90.146779999999993</v>
      </c>
      <c r="N230" s="239">
        <f t="shared" si="21"/>
        <v>7918735.0026904549</v>
      </c>
      <c r="Q230" s="44"/>
      <c r="R230" s="44"/>
      <c r="S230" s="44"/>
      <c r="T230" s="44"/>
      <c r="U230" s="39"/>
      <c r="AE230" s="40"/>
      <c r="AF230" s="7"/>
      <c r="AG230" s="7"/>
      <c r="AH230" s="7"/>
    </row>
    <row r="231" spans="1:34" x14ac:dyDescent="0.35">
      <c r="A231" s="34">
        <v>698</v>
      </c>
      <c r="B231" s="34" t="s">
        <v>273</v>
      </c>
      <c r="C231" s="35">
        <f>Bestämningsfaktor_kommunvis!C221</f>
        <v>19</v>
      </c>
      <c r="D231" s="36">
        <v>-221125</v>
      </c>
      <c r="E231" s="36">
        <v>-691</v>
      </c>
      <c r="F231" s="36">
        <f t="shared" si="18"/>
        <v>220434</v>
      </c>
      <c r="G231" s="36">
        <v>-228015</v>
      </c>
      <c r="H231" s="36">
        <v>-660</v>
      </c>
      <c r="I231" s="36">
        <f t="shared" si="19"/>
        <v>227355</v>
      </c>
      <c r="J231" s="37">
        <f t="shared" si="17"/>
        <v>223894.5</v>
      </c>
      <c r="K231" s="38">
        <f t="shared" si="20"/>
        <v>1.2009043530741238E-2</v>
      </c>
      <c r="L231" s="37">
        <f>'Social- och hälsovårdskostnader'!$K231*$L$14</f>
        <v>237675.73494526983</v>
      </c>
      <c r="M231" s="36">
        <v>-4931.2118</v>
      </c>
      <c r="N231" s="239">
        <f t="shared" si="21"/>
        <v>232744523.14526984</v>
      </c>
      <c r="Q231" s="44"/>
      <c r="R231" s="44"/>
      <c r="S231" s="44"/>
      <c r="T231" s="44"/>
      <c r="U231" s="39"/>
      <c r="AE231" s="40"/>
      <c r="AF231" s="7"/>
      <c r="AG231" s="7"/>
      <c r="AH231" s="7"/>
    </row>
    <row r="232" spans="1:34" x14ac:dyDescent="0.35">
      <c r="A232" s="34">
        <v>700</v>
      </c>
      <c r="B232" s="34" t="s">
        <v>274</v>
      </c>
      <c r="C232" s="35">
        <f>Bestämningsfaktor_kommunvis!C222</f>
        <v>9</v>
      </c>
      <c r="D232" s="36">
        <v>-19907</v>
      </c>
      <c r="E232" s="36">
        <v>-177</v>
      </c>
      <c r="F232" s="36">
        <f t="shared" si="18"/>
        <v>19730</v>
      </c>
      <c r="G232" s="36">
        <v>-20212</v>
      </c>
      <c r="H232" s="36">
        <v>-177</v>
      </c>
      <c r="I232" s="36">
        <f t="shared" si="19"/>
        <v>20035</v>
      </c>
      <c r="J232" s="37">
        <f t="shared" si="17"/>
        <v>19882.5</v>
      </c>
      <c r="K232" s="38">
        <f t="shared" si="20"/>
        <v>1.066438916543116E-3</v>
      </c>
      <c r="L232" s="37">
        <f>'Social- och hälsovårdskostnader'!$K232*$L$14</f>
        <v>21106.314804737623</v>
      </c>
      <c r="M232" s="36">
        <v>-245.73054000000002</v>
      </c>
      <c r="N232" s="239">
        <f t="shared" si="21"/>
        <v>20860584.264737625</v>
      </c>
      <c r="Q232" s="44"/>
      <c r="R232" s="44"/>
      <c r="S232" s="44"/>
      <c r="T232" s="44"/>
      <c r="U232" s="39"/>
      <c r="AE232" s="40"/>
      <c r="AF232" s="7"/>
      <c r="AG232" s="7"/>
      <c r="AH232" s="7"/>
    </row>
    <row r="233" spans="1:34" x14ac:dyDescent="0.35">
      <c r="A233" s="34">
        <v>702</v>
      </c>
      <c r="B233" s="34" t="s">
        <v>275</v>
      </c>
      <c r="C233" s="35">
        <f>Bestämningsfaktor_kommunvis!C223</f>
        <v>6</v>
      </c>
      <c r="D233" s="36">
        <v>-20468</v>
      </c>
      <c r="E233" s="36">
        <v>-127</v>
      </c>
      <c r="F233" s="36">
        <f t="shared" si="18"/>
        <v>20341</v>
      </c>
      <c r="G233" s="36">
        <v>-21026</v>
      </c>
      <c r="H233" s="36">
        <v>-132</v>
      </c>
      <c r="I233" s="36">
        <f t="shared" si="19"/>
        <v>20894</v>
      </c>
      <c r="J233" s="37">
        <f t="shared" si="17"/>
        <v>20617.5</v>
      </c>
      <c r="K233" s="38">
        <f t="shared" si="20"/>
        <v>1.1058621582712281E-3</v>
      </c>
      <c r="L233" s="37">
        <f>'Social- och hälsovårdskostnader'!$K233*$L$14</f>
        <v>21886.555789597784</v>
      </c>
      <c r="M233" s="36">
        <v>-103.42624000000001</v>
      </c>
      <c r="N233" s="239">
        <f t="shared" si="21"/>
        <v>21783129.549597781</v>
      </c>
      <c r="Q233" s="44"/>
      <c r="R233" s="44"/>
      <c r="S233" s="44"/>
      <c r="T233" s="44"/>
      <c r="U233" s="39"/>
      <c r="AE233" s="40"/>
      <c r="AF233" s="7"/>
      <c r="AG233" s="7"/>
      <c r="AH233" s="7"/>
    </row>
    <row r="234" spans="1:34" x14ac:dyDescent="0.35">
      <c r="A234" s="34">
        <v>704</v>
      </c>
      <c r="B234" s="34" t="s">
        <v>276</v>
      </c>
      <c r="C234" s="35">
        <f>Bestämningsfaktor_kommunvis!C224</f>
        <v>2</v>
      </c>
      <c r="D234" s="36">
        <v>-14825</v>
      </c>
      <c r="E234" s="36">
        <v>-46</v>
      </c>
      <c r="F234" s="36">
        <f t="shared" si="18"/>
        <v>14779</v>
      </c>
      <c r="G234" s="36">
        <v>-16206</v>
      </c>
      <c r="H234" s="36">
        <v>-45</v>
      </c>
      <c r="I234" s="36">
        <f t="shared" si="19"/>
        <v>16161</v>
      </c>
      <c r="J234" s="37">
        <f t="shared" si="17"/>
        <v>15470</v>
      </c>
      <c r="K234" s="38">
        <f t="shared" si="20"/>
        <v>8.2976537351550379E-4</v>
      </c>
      <c r="L234" s="37">
        <f>'Social- och hälsovårdskostnader'!$K234*$L$14</f>
        <v>16422.21501467577</v>
      </c>
      <c r="M234" s="36">
        <v>-111.91525999999999</v>
      </c>
      <c r="N234" s="239">
        <f t="shared" si="21"/>
        <v>16310299.75467577</v>
      </c>
      <c r="Q234" s="44"/>
      <c r="R234" s="44"/>
      <c r="S234" s="44"/>
      <c r="T234" s="44"/>
      <c r="U234" s="39"/>
      <c r="AE234" s="40"/>
      <c r="AF234" s="7"/>
      <c r="AG234" s="7"/>
      <c r="AH234" s="7"/>
    </row>
    <row r="235" spans="1:34" x14ac:dyDescent="0.35">
      <c r="A235" s="34">
        <v>707</v>
      </c>
      <c r="B235" s="34" t="s">
        <v>277</v>
      </c>
      <c r="C235" s="35">
        <f>Bestämningsfaktor_kommunvis!C225</f>
        <v>12</v>
      </c>
      <c r="D235" s="36">
        <v>-10692</v>
      </c>
      <c r="E235" s="36">
        <v>-87</v>
      </c>
      <c r="F235" s="36">
        <f t="shared" si="18"/>
        <v>10605</v>
      </c>
      <c r="G235" s="36">
        <v>-10857</v>
      </c>
      <c r="H235" s="36">
        <v>-88</v>
      </c>
      <c r="I235" s="36">
        <f t="shared" si="19"/>
        <v>10769</v>
      </c>
      <c r="J235" s="37">
        <f t="shared" si="17"/>
        <v>10687</v>
      </c>
      <c r="K235" s="38">
        <f t="shared" si="20"/>
        <v>5.7321929843310855E-4</v>
      </c>
      <c r="L235" s="37">
        <f>'Social- och hälsovårdskostnader'!$K235*$L$14</f>
        <v>11344.810075102778</v>
      </c>
      <c r="M235" s="36">
        <v>-125.3519</v>
      </c>
      <c r="N235" s="239">
        <f t="shared" si="21"/>
        <v>11219458.175102778</v>
      </c>
      <c r="Q235" s="44"/>
      <c r="R235" s="44"/>
      <c r="S235" s="44"/>
      <c r="T235" s="44"/>
      <c r="U235" s="39"/>
      <c r="AE235" s="40"/>
      <c r="AF235" s="7"/>
      <c r="AG235" s="7"/>
      <c r="AH235" s="7"/>
    </row>
    <row r="236" spans="1:34" x14ac:dyDescent="0.35">
      <c r="A236" s="34">
        <v>710</v>
      </c>
      <c r="B236" s="34" t="s">
        <v>278</v>
      </c>
      <c r="C236" s="35">
        <f>Bestämningsfaktor_kommunvis!C226</f>
        <v>33</v>
      </c>
      <c r="D236" s="36">
        <v>-104140</v>
      </c>
      <c r="E236" s="36">
        <v>-416</v>
      </c>
      <c r="F236" s="36">
        <f t="shared" si="18"/>
        <v>103724</v>
      </c>
      <c r="G236" s="36">
        <v>-107769</v>
      </c>
      <c r="H236" s="36">
        <v>-401</v>
      </c>
      <c r="I236" s="36">
        <f t="shared" si="19"/>
        <v>107368</v>
      </c>
      <c r="J236" s="37">
        <f t="shared" si="17"/>
        <v>105546</v>
      </c>
      <c r="K236" s="38">
        <f t="shared" si="20"/>
        <v>5.6611775121569079E-3</v>
      </c>
      <c r="L236" s="37">
        <f>'Social- och hälsovårdskostnader'!$K236*$L$14</f>
        <v>112042.60542591913</v>
      </c>
      <c r="M236" s="36">
        <v>-2109.2335200000002</v>
      </c>
      <c r="N236" s="239">
        <f t="shared" si="21"/>
        <v>109933371.90591913</v>
      </c>
      <c r="Q236" s="44"/>
      <c r="R236" s="44"/>
      <c r="S236" s="44"/>
      <c r="T236" s="44"/>
      <c r="U236" s="39"/>
      <c r="AE236" s="40"/>
      <c r="AF236" s="7"/>
      <c r="AG236" s="7"/>
      <c r="AH236" s="7"/>
    </row>
    <row r="237" spans="1:34" x14ac:dyDescent="0.35">
      <c r="A237" s="34">
        <v>729</v>
      </c>
      <c r="B237" s="34" t="s">
        <v>279</v>
      </c>
      <c r="C237" s="35">
        <f>Bestämningsfaktor_kommunvis!C227</f>
        <v>13</v>
      </c>
      <c r="D237" s="36">
        <v>-38533</v>
      </c>
      <c r="E237" s="36">
        <v>-292</v>
      </c>
      <c r="F237" s="36">
        <f t="shared" si="18"/>
        <v>38241</v>
      </c>
      <c r="G237" s="36">
        <v>-39528</v>
      </c>
      <c r="H237" s="36">
        <v>-293</v>
      </c>
      <c r="I237" s="36">
        <f t="shared" si="19"/>
        <v>39235</v>
      </c>
      <c r="J237" s="37">
        <f t="shared" si="17"/>
        <v>38738</v>
      </c>
      <c r="K237" s="38">
        <f t="shared" si="20"/>
        <v>2.0777925687940259E-3</v>
      </c>
      <c r="L237" s="37">
        <f>'Social- och hälsovårdskostnader'!$K237*$L$14</f>
        <v>41122.415335391721</v>
      </c>
      <c r="M237" s="36">
        <v>-720.42686000000003</v>
      </c>
      <c r="N237" s="239">
        <f t="shared" si="21"/>
        <v>40401988.475391723</v>
      </c>
      <c r="Q237" s="44"/>
      <c r="R237" s="44"/>
      <c r="S237" s="44"/>
      <c r="T237" s="44"/>
      <c r="U237" s="39"/>
      <c r="AE237" s="40"/>
      <c r="AF237" s="7"/>
      <c r="AG237" s="7"/>
      <c r="AH237" s="7"/>
    </row>
    <row r="238" spans="1:34" x14ac:dyDescent="0.35">
      <c r="A238" s="34">
        <v>732</v>
      </c>
      <c r="B238" s="34" t="s">
        <v>280</v>
      </c>
      <c r="C238" s="35">
        <f>Bestämningsfaktor_kommunvis!C228</f>
        <v>19</v>
      </c>
      <c r="D238" s="36">
        <v>-20813</v>
      </c>
      <c r="E238" s="36">
        <v>-219</v>
      </c>
      <c r="F238" s="36">
        <f t="shared" si="18"/>
        <v>20594</v>
      </c>
      <c r="G238" s="36">
        <v>-21006</v>
      </c>
      <c r="H238" s="36">
        <v>-210</v>
      </c>
      <c r="I238" s="36">
        <f t="shared" si="19"/>
        <v>20796</v>
      </c>
      <c r="J238" s="37">
        <f t="shared" si="17"/>
        <v>20695</v>
      </c>
      <c r="K238" s="38">
        <f t="shared" si="20"/>
        <v>1.1100190306983419E-3</v>
      </c>
      <c r="L238" s="37">
        <f>'Social- och hälsovårdskostnader'!$K238*$L$14</f>
        <v>21968.826097525212</v>
      </c>
      <c r="M238" s="36">
        <v>-128.38826</v>
      </c>
      <c r="N238" s="239">
        <f t="shared" si="21"/>
        <v>21840437.837525211</v>
      </c>
      <c r="Q238" s="44"/>
      <c r="R238" s="44"/>
      <c r="S238" s="44"/>
      <c r="T238" s="44"/>
      <c r="U238" s="39"/>
      <c r="AE238" s="40"/>
      <c r="AF238" s="7"/>
      <c r="AG238" s="7"/>
      <c r="AH238" s="7"/>
    </row>
    <row r="239" spans="1:34" x14ac:dyDescent="0.35">
      <c r="A239" s="34">
        <v>734</v>
      </c>
      <c r="B239" s="34" t="s">
        <v>281</v>
      </c>
      <c r="C239" s="35">
        <f>Bestämningsfaktor_kommunvis!C229</f>
        <v>2</v>
      </c>
      <c r="D239" s="36">
        <v>-185218</v>
      </c>
      <c r="E239" s="36">
        <v>-706</v>
      </c>
      <c r="F239" s="36">
        <f t="shared" si="18"/>
        <v>184512</v>
      </c>
      <c r="G239" s="36">
        <v>-197005</v>
      </c>
      <c r="H239" s="36">
        <v>-738</v>
      </c>
      <c r="I239" s="36">
        <f t="shared" si="19"/>
        <v>196267</v>
      </c>
      <c r="J239" s="37">
        <f t="shared" si="17"/>
        <v>190389.5</v>
      </c>
      <c r="K239" s="38">
        <f t="shared" si="20"/>
        <v>1.0211933715638655E-2</v>
      </c>
      <c r="L239" s="37">
        <f>'Social- och hälsovårdskostnader'!$K239*$L$14</f>
        <v>202108.42311161038</v>
      </c>
      <c r="M239" s="36">
        <v>-3517.3670499999998</v>
      </c>
      <c r="N239" s="239">
        <f t="shared" si="21"/>
        <v>198591056.06161037</v>
      </c>
      <c r="Q239" s="44"/>
      <c r="R239" s="44"/>
      <c r="S239" s="44"/>
      <c r="T239" s="44"/>
      <c r="U239" s="39"/>
      <c r="AE239" s="40"/>
      <c r="AF239" s="7"/>
      <c r="AG239" s="7"/>
      <c r="AH239" s="7"/>
    </row>
    <row r="240" spans="1:34" x14ac:dyDescent="0.35">
      <c r="A240" s="34">
        <v>738</v>
      </c>
      <c r="B240" s="34" t="s">
        <v>282</v>
      </c>
      <c r="C240" s="35">
        <f>Bestämningsfaktor_kommunvis!C230</f>
        <v>2</v>
      </c>
      <c r="D240" s="36">
        <v>-9276</v>
      </c>
      <c r="E240" s="36">
        <v>-52</v>
      </c>
      <c r="F240" s="36">
        <f t="shared" si="18"/>
        <v>9224</v>
      </c>
      <c r="G240" s="36">
        <v>-9518</v>
      </c>
      <c r="H240" s="36">
        <v>-58</v>
      </c>
      <c r="I240" s="36">
        <f t="shared" si="19"/>
        <v>9460</v>
      </c>
      <c r="J240" s="37">
        <f t="shared" si="17"/>
        <v>9342</v>
      </c>
      <c r="K240" s="38">
        <f t="shared" si="20"/>
        <v>5.0107744792384206E-4</v>
      </c>
      <c r="L240" s="37">
        <f>'Social- och hälsovårdskostnader'!$K240*$L$14</f>
        <v>9917.022150426701</v>
      </c>
      <c r="M240" s="36">
        <v>-38.489339999999999</v>
      </c>
      <c r="N240" s="239">
        <f t="shared" si="21"/>
        <v>9878532.8104267009</v>
      </c>
      <c r="Q240" s="44"/>
      <c r="R240" s="44"/>
      <c r="S240" s="44"/>
      <c r="T240" s="44"/>
      <c r="U240" s="39"/>
      <c r="AE240" s="40"/>
      <c r="AF240" s="7"/>
      <c r="AG240" s="7"/>
      <c r="AH240" s="7"/>
    </row>
    <row r="241" spans="1:37" x14ac:dyDescent="0.35">
      <c r="A241" s="34">
        <v>739</v>
      </c>
      <c r="B241" s="34" t="s">
        <v>283</v>
      </c>
      <c r="C241" s="35">
        <f>Bestämningsfaktor_kommunvis!C231</f>
        <v>9</v>
      </c>
      <c r="D241" s="36">
        <v>-15181</v>
      </c>
      <c r="E241" s="36">
        <v>-160</v>
      </c>
      <c r="F241" s="36">
        <f t="shared" si="18"/>
        <v>15021</v>
      </c>
      <c r="G241" s="36">
        <v>-12816</v>
      </c>
      <c r="H241" s="36">
        <v>-144</v>
      </c>
      <c r="I241" s="36">
        <f t="shared" si="19"/>
        <v>12672</v>
      </c>
      <c r="J241" s="37">
        <f t="shared" si="17"/>
        <v>13846.5</v>
      </c>
      <c r="K241" s="38">
        <f t="shared" si="20"/>
        <v>7.4268560080041515E-4</v>
      </c>
      <c r="L241" s="37">
        <f>'Social- och hälsovårdskostnader'!$K241*$L$14</f>
        <v>14698.784757641115</v>
      </c>
      <c r="M241" s="36">
        <v>-81.155630000000002</v>
      </c>
      <c r="N241" s="239">
        <f t="shared" si="21"/>
        <v>14617629.127641115</v>
      </c>
      <c r="Q241" s="44"/>
      <c r="R241" s="44"/>
      <c r="S241" s="44"/>
      <c r="T241" s="44"/>
      <c r="U241" s="39"/>
      <c r="AE241" s="40"/>
      <c r="AF241" s="7"/>
      <c r="AG241" s="7"/>
      <c r="AH241" s="7"/>
    </row>
    <row r="242" spans="1:37" x14ac:dyDescent="0.35">
      <c r="A242" s="34">
        <v>740</v>
      </c>
      <c r="B242" s="34" t="s">
        <v>284</v>
      </c>
      <c r="C242" s="35">
        <f>Bestämningsfaktor_kommunvis!C232</f>
        <v>10</v>
      </c>
      <c r="D242" s="36">
        <v>-151505</v>
      </c>
      <c r="E242" s="36">
        <v>-891</v>
      </c>
      <c r="F242" s="36">
        <f t="shared" si="18"/>
        <v>150614</v>
      </c>
      <c r="G242" s="36">
        <v>-151709</v>
      </c>
      <c r="H242" s="36">
        <v>-866</v>
      </c>
      <c r="I242" s="36">
        <f t="shared" si="19"/>
        <v>150843</v>
      </c>
      <c r="J242" s="37">
        <f t="shared" si="17"/>
        <v>150728.5</v>
      </c>
      <c r="K242" s="38">
        <f t="shared" si="20"/>
        <v>8.0846341371642923E-3</v>
      </c>
      <c r="L242" s="37">
        <f>'Social- och hälsovårdskostnader'!$K242*$L$14</f>
        <v>160006.19494761195</v>
      </c>
      <c r="M242" s="36">
        <v>-2119.3739500000001</v>
      </c>
      <c r="N242" s="239">
        <f t="shared" si="21"/>
        <v>157886820.99761194</v>
      </c>
      <c r="Q242" s="44"/>
      <c r="R242" s="44"/>
      <c r="S242" s="44"/>
      <c r="T242" s="44"/>
      <c r="U242" s="39"/>
      <c r="AE242" s="40"/>
      <c r="AF242" s="7"/>
      <c r="AG242" s="7"/>
      <c r="AH242" s="7"/>
    </row>
    <row r="243" spans="1:37" x14ac:dyDescent="0.35">
      <c r="A243" s="34">
        <v>742</v>
      </c>
      <c r="B243" s="34" t="s">
        <v>285</v>
      </c>
      <c r="C243" s="35">
        <f>Bestämningsfaktor_kommunvis!C233</f>
        <v>19</v>
      </c>
      <c r="D243" s="36">
        <v>-5258</v>
      </c>
      <c r="E243" s="36">
        <v>-79</v>
      </c>
      <c r="F243" s="36">
        <f t="shared" si="18"/>
        <v>5179</v>
      </c>
      <c r="G243" s="36">
        <v>-5435</v>
      </c>
      <c r="H243" s="36">
        <v>-80</v>
      </c>
      <c r="I243" s="36">
        <f t="shared" si="19"/>
        <v>5355</v>
      </c>
      <c r="J243" s="37">
        <f t="shared" si="17"/>
        <v>5267</v>
      </c>
      <c r="K243" s="38">
        <f t="shared" si="20"/>
        <v>2.8250641385301606E-4</v>
      </c>
      <c r="L243" s="37">
        <f>'Social- och hälsovårdskostnader'!$K243*$L$14</f>
        <v>5591.1962819843111</v>
      </c>
      <c r="M243" s="36">
        <v>-60.36439</v>
      </c>
      <c r="N243" s="239">
        <f t="shared" si="21"/>
        <v>5530831.8919843109</v>
      </c>
      <c r="Q243" s="44"/>
      <c r="R243" s="44"/>
      <c r="S243" s="44"/>
      <c r="T243" s="44"/>
      <c r="U243" s="39"/>
      <c r="AE243" s="40"/>
      <c r="AF243" s="7"/>
      <c r="AG243" s="7"/>
      <c r="AH243" s="7"/>
    </row>
    <row r="244" spans="1:37" x14ac:dyDescent="0.35">
      <c r="A244" s="34">
        <v>743</v>
      </c>
      <c r="B244" s="34" t="s">
        <v>286</v>
      </c>
      <c r="C244" s="35">
        <f>Bestämningsfaktor_kommunvis!C234</f>
        <v>14</v>
      </c>
      <c r="D244" s="36">
        <v>-196117</v>
      </c>
      <c r="E244" s="36">
        <v>-503</v>
      </c>
      <c r="F244" s="36">
        <f t="shared" si="18"/>
        <v>195614</v>
      </c>
      <c r="G244" s="36">
        <v>-214422</v>
      </c>
      <c r="H244" s="36">
        <v>-524</v>
      </c>
      <c r="I244" s="36">
        <f t="shared" si="19"/>
        <v>213898</v>
      </c>
      <c r="J244" s="37">
        <f t="shared" si="17"/>
        <v>204756</v>
      </c>
      <c r="K244" s="38">
        <f t="shared" si="20"/>
        <v>1.0982510589498416E-2</v>
      </c>
      <c r="L244" s="37">
        <f>'Social- och hälsovårdskostnader'!$K244*$L$14</f>
        <v>217359.21509663557</v>
      </c>
      <c r="M244" s="36">
        <v>-3358.8442799999998</v>
      </c>
      <c r="N244" s="239">
        <f t="shared" si="21"/>
        <v>214000370.81663558</v>
      </c>
      <c r="Q244" s="44"/>
      <c r="R244" s="44"/>
      <c r="S244" s="44"/>
      <c r="T244" s="44"/>
      <c r="U244" s="39"/>
      <c r="AE244" s="40"/>
      <c r="AF244" s="7"/>
      <c r="AG244" s="7"/>
      <c r="AH244" s="7"/>
    </row>
    <row r="245" spans="1:37" x14ac:dyDescent="0.35">
      <c r="A245" s="34">
        <v>746</v>
      </c>
      <c r="B245" s="34" t="s">
        <v>287</v>
      </c>
      <c r="C245" s="35">
        <f>Bestämningsfaktor_kommunvis!C235</f>
        <v>17</v>
      </c>
      <c r="D245" s="36">
        <v>-18564</v>
      </c>
      <c r="E245" s="36">
        <v>-179</v>
      </c>
      <c r="F245" s="36">
        <f t="shared" si="18"/>
        <v>18385</v>
      </c>
      <c r="G245" s="36">
        <v>-19650</v>
      </c>
      <c r="H245" s="36">
        <v>-182</v>
      </c>
      <c r="I245" s="36">
        <f t="shared" si="19"/>
        <v>19468</v>
      </c>
      <c r="J245" s="37">
        <f t="shared" si="17"/>
        <v>18926.5</v>
      </c>
      <c r="K245" s="38">
        <f t="shared" si="20"/>
        <v>1.0151618837647824E-3</v>
      </c>
      <c r="L245" s="37">
        <f>'Social- och hälsovårdskostnader'!$K245*$L$14</f>
        <v>20091.470748239237</v>
      </c>
      <c r="M245" s="36">
        <v>-132.41172</v>
      </c>
      <c r="N245" s="239">
        <f t="shared" si="21"/>
        <v>19959059.028239235</v>
      </c>
      <c r="Q245" s="44"/>
      <c r="R245" s="44"/>
      <c r="S245" s="44"/>
      <c r="T245" s="44"/>
      <c r="U245" s="39"/>
      <c r="AE245" s="40"/>
      <c r="AF245" s="7"/>
      <c r="AG245" s="7"/>
      <c r="AH245" s="7"/>
    </row>
    <row r="246" spans="1:37" x14ac:dyDescent="0.35">
      <c r="A246" s="34">
        <v>747</v>
      </c>
      <c r="B246" s="34" t="s">
        <v>288</v>
      </c>
      <c r="C246" s="35">
        <f>Bestämningsfaktor_kommunvis!C236</f>
        <v>4</v>
      </c>
      <c r="D246" s="36">
        <v>-5551</v>
      </c>
      <c r="E246" s="36">
        <v>-57</v>
      </c>
      <c r="F246" s="36">
        <f t="shared" si="18"/>
        <v>5494</v>
      </c>
      <c r="G246" s="36">
        <v>-5045</v>
      </c>
      <c r="H246" s="36">
        <v>-65</v>
      </c>
      <c r="I246" s="36">
        <f t="shared" si="19"/>
        <v>4980</v>
      </c>
      <c r="J246" s="37">
        <f t="shared" si="17"/>
        <v>5237</v>
      </c>
      <c r="K246" s="38">
        <f t="shared" si="20"/>
        <v>2.8089730194574619E-4</v>
      </c>
      <c r="L246" s="37">
        <f>'Social- och hälsovårdskostnader'!$K246*$L$14</f>
        <v>5559.3497111736924</v>
      </c>
      <c r="M246" s="36">
        <v>-49.545559999999995</v>
      </c>
      <c r="N246" s="239">
        <f t="shared" si="21"/>
        <v>5509804.1511736931</v>
      </c>
      <c r="Q246" s="44"/>
      <c r="R246" s="44"/>
      <c r="S246" s="44"/>
      <c r="T246" s="44"/>
      <c r="U246" s="39"/>
      <c r="AE246" s="40"/>
      <c r="AF246" s="7"/>
      <c r="AG246" s="7"/>
      <c r="AH246" s="7"/>
    </row>
    <row r="247" spans="1:37" x14ac:dyDescent="0.35">
      <c r="A247" s="34">
        <v>748</v>
      </c>
      <c r="B247" s="34" t="s">
        <v>289</v>
      </c>
      <c r="C247" s="35">
        <f>Bestämningsfaktor_kommunvis!C237</f>
        <v>17</v>
      </c>
      <c r="D247" s="36">
        <v>-18545</v>
      </c>
      <c r="E247" s="36">
        <v>-101</v>
      </c>
      <c r="F247" s="36">
        <f t="shared" si="18"/>
        <v>18444</v>
      </c>
      <c r="G247" s="36">
        <v>-18208</v>
      </c>
      <c r="H247" s="36">
        <v>-112</v>
      </c>
      <c r="I247" s="36">
        <f t="shared" si="19"/>
        <v>18096</v>
      </c>
      <c r="J247" s="37">
        <f t="shared" si="17"/>
        <v>18270</v>
      </c>
      <c r="K247" s="38">
        <f t="shared" si="20"/>
        <v>9.7994915152735959E-4</v>
      </c>
      <c r="L247" s="37">
        <f>'Social- och hälsovårdskostnader'!$K247*$L$14</f>
        <v>19394.561623666857</v>
      </c>
      <c r="M247" s="36">
        <v>-194.49299999999999</v>
      </c>
      <c r="N247" s="239">
        <f t="shared" si="21"/>
        <v>19200068.62366686</v>
      </c>
      <c r="Q247" s="44"/>
      <c r="R247" s="44"/>
      <c r="S247" s="44"/>
      <c r="T247" s="44"/>
      <c r="U247" s="39"/>
      <c r="AE247" s="40"/>
      <c r="AF247" s="48"/>
      <c r="AG247" s="48"/>
      <c r="AH247" s="48"/>
      <c r="AI247" s="49"/>
      <c r="AJ247" s="49"/>
      <c r="AK247" s="49"/>
    </row>
    <row r="248" spans="1:37" x14ac:dyDescent="0.35">
      <c r="A248" s="34">
        <v>749</v>
      </c>
      <c r="B248" s="34" t="s">
        <v>290</v>
      </c>
      <c r="C248" s="35">
        <f>Bestämningsfaktor_kommunvis!C238</f>
        <v>11</v>
      </c>
      <c r="D248" s="36">
        <v>-69948</v>
      </c>
      <c r="E248" s="36">
        <v>-499</v>
      </c>
      <c r="F248" s="36">
        <f t="shared" si="18"/>
        <v>69449</v>
      </c>
      <c r="G248" s="36">
        <v>-72173</v>
      </c>
      <c r="H248" s="36">
        <v>-480</v>
      </c>
      <c r="I248" s="36">
        <f t="shared" si="19"/>
        <v>71693</v>
      </c>
      <c r="J248" s="37">
        <f t="shared" si="17"/>
        <v>70571</v>
      </c>
      <c r="K248" s="38">
        <f t="shared" si="20"/>
        <v>3.7852212135981007E-3</v>
      </c>
      <c r="L248" s="37">
        <f>'Social- och hälsovårdskostnader'!$K248*$L$14</f>
        <v>74914.811622539361</v>
      </c>
      <c r="M248" s="36">
        <v>-1105.2972400000001</v>
      </c>
      <c r="N248" s="239">
        <f t="shared" si="21"/>
        <v>73809514.382539362</v>
      </c>
      <c r="Q248" s="44"/>
      <c r="R248" s="44"/>
      <c r="S248" s="44"/>
      <c r="T248" s="44"/>
      <c r="U248" s="39"/>
      <c r="AE248" s="40"/>
      <c r="AF248" s="7"/>
      <c r="AG248" s="7"/>
      <c r="AH248" s="7"/>
    </row>
    <row r="249" spans="1:37" x14ac:dyDescent="0.35">
      <c r="A249" s="34">
        <v>751</v>
      </c>
      <c r="B249" s="34" t="s">
        <v>291</v>
      </c>
      <c r="C249" s="35">
        <f>Bestämningsfaktor_kommunvis!C239</f>
        <v>19</v>
      </c>
      <c r="D249" s="36">
        <v>-13124</v>
      </c>
      <c r="E249" s="36">
        <v>-102</v>
      </c>
      <c r="F249" s="36">
        <f t="shared" si="18"/>
        <v>13022</v>
      </c>
      <c r="G249" s="36">
        <v>-13826</v>
      </c>
      <c r="H249" s="36">
        <v>-111</v>
      </c>
      <c r="I249" s="36">
        <f t="shared" si="19"/>
        <v>13715</v>
      </c>
      <c r="J249" s="37">
        <f t="shared" si="17"/>
        <v>13368.5</v>
      </c>
      <c r="K249" s="38">
        <f t="shared" si="20"/>
        <v>7.1704708441124834E-4</v>
      </c>
      <c r="L249" s="37">
        <f>'Social- och hälsovårdskostnader'!$K249*$L$14</f>
        <v>14191.362729391922</v>
      </c>
      <c r="M249" s="36">
        <v>-64.92089</v>
      </c>
      <c r="N249" s="239">
        <f t="shared" si="21"/>
        <v>14126441.839391923</v>
      </c>
      <c r="Q249" s="44"/>
      <c r="R249" s="44"/>
      <c r="S249" s="44"/>
      <c r="T249" s="44"/>
      <c r="U249" s="39"/>
      <c r="AE249" s="40"/>
      <c r="AF249" s="7"/>
      <c r="AG249" s="7"/>
      <c r="AH249" s="7"/>
    </row>
    <row r="250" spans="1:37" x14ac:dyDescent="0.35">
      <c r="A250" s="34">
        <v>753</v>
      </c>
      <c r="B250" s="34" t="s">
        <v>292</v>
      </c>
      <c r="C250" s="35">
        <f>Bestämningsfaktor_kommunvis!C240</f>
        <v>34</v>
      </c>
      <c r="D250" s="36">
        <v>-53812</v>
      </c>
      <c r="E250" s="36">
        <v>-378</v>
      </c>
      <c r="F250" s="36">
        <f t="shared" si="18"/>
        <v>53434</v>
      </c>
      <c r="G250" s="36">
        <v>-57551</v>
      </c>
      <c r="H250" s="36">
        <v>-404</v>
      </c>
      <c r="I250" s="36">
        <f t="shared" si="19"/>
        <v>57147</v>
      </c>
      <c r="J250" s="37">
        <f t="shared" si="17"/>
        <v>55290.5</v>
      </c>
      <c r="K250" s="38">
        <f t="shared" si="20"/>
        <v>2.9656200636301849E-3</v>
      </c>
      <c r="L250" s="37">
        <f>'Social- och hälsovårdskostnader'!$K250*$L$14</f>
        <v>58693.76078015066</v>
      </c>
      <c r="M250" s="36">
        <v>-839.72243000000003</v>
      </c>
      <c r="N250" s="239">
        <f t="shared" si="21"/>
        <v>57854038.35015066</v>
      </c>
      <c r="Q250" s="44"/>
      <c r="R250" s="44"/>
      <c r="S250" s="44"/>
      <c r="T250" s="44"/>
      <c r="U250" s="39"/>
      <c r="AE250" s="40"/>
      <c r="AF250" s="7"/>
      <c r="AG250" s="7"/>
      <c r="AH250" s="7"/>
    </row>
    <row r="251" spans="1:37" x14ac:dyDescent="0.35">
      <c r="A251" s="34">
        <v>755</v>
      </c>
      <c r="B251" s="34" t="s">
        <v>293</v>
      </c>
      <c r="C251" s="35">
        <f>Bestämningsfaktor_kommunvis!C241</f>
        <v>33</v>
      </c>
      <c r="D251" s="36">
        <v>-16328</v>
      </c>
      <c r="E251" s="36">
        <v>-64</v>
      </c>
      <c r="F251" s="36">
        <f t="shared" si="18"/>
        <v>16264</v>
      </c>
      <c r="G251" s="36">
        <v>-17566</v>
      </c>
      <c r="H251" s="36">
        <v>-55</v>
      </c>
      <c r="I251" s="36">
        <f t="shared" si="19"/>
        <v>17511</v>
      </c>
      <c r="J251" s="37">
        <f t="shared" si="17"/>
        <v>16887.5</v>
      </c>
      <c r="K251" s="38">
        <f t="shared" si="20"/>
        <v>9.0579591113400585E-4</v>
      </c>
      <c r="L251" s="37">
        <f>'Social- och hälsovårdskostnader'!$K251*$L$14</f>
        <v>17926.965485477511</v>
      </c>
      <c r="M251" s="36">
        <v>-309.63802000000004</v>
      </c>
      <c r="N251" s="239">
        <f t="shared" si="21"/>
        <v>17617327.465477511</v>
      </c>
      <c r="Q251" s="44"/>
      <c r="R251" s="44"/>
      <c r="S251" s="44"/>
      <c r="T251" s="44"/>
      <c r="U251" s="39"/>
      <c r="AE251" s="40"/>
      <c r="AF251" s="7"/>
      <c r="AG251" s="7"/>
      <c r="AH251" s="7"/>
    </row>
    <row r="252" spans="1:37" x14ac:dyDescent="0.35">
      <c r="A252" s="34">
        <v>758</v>
      </c>
      <c r="B252" s="34" t="s">
        <v>294</v>
      </c>
      <c r="C252" s="35">
        <f>Bestämningsfaktor_kommunvis!C242</f>
        <v>19</v>
      </c>
      <c r="D252" s="36">
        <v>-38537</v>
      </c>
      <c r="E252" s="36">
        <v>-395</v>
      </c>
      <c r="F252" s="36">
        <f t="shared" si="18"/>
        <v>38142</v>
      </c>
      <c r="G252" s="36">
        <v>-40270</v>
      </c>
      <c r="H252" s="36">
        <v>-408</v>
      </c>
      <c r="I252" s="36">
        <f t="shared" si="19"/>
        <v>39862</v>
      </c>
      <c r="J252" s="37">
        <f t="shared" si="17"/>
        <v>39002</v>
      </c>
      <c r="K252" s="38">
        <f t="shared" si="20"/>
        <v>2.091952753578001E-3</v>
      </c>
      <c r="L252" s="37">
        <f>'Social- och hälsovårdskostnader'!$K252*$L$14</f>
        <v>41402.665158525167</v>
      </c>
      <c r="M252" s="36">
        <v>-263.89411999999999</v>
      </c>
      <c r="N252" s="239">
        <f t="shared" si="21"/>
        <v>41138771.038525172</v>
      </c>
      <c r="Q252" s="44"/>
      <c r="R252" s="44"/>
      <c r="S252" s="44"/>
      <c r="T252" s="44"/>
      <c r="U252" s="39"/>
      <c r="AE252" s="40"/>
      <c r="AF252" s="7"/>
      <c r="AG252" s="7"/>
      <c r="AH252" s="7"/>
    </row>
    <row r="253" spans="1:37" x14ac:dyDescent="0.35">
      <c r="A253" s="34">
        <v>759</v>
      </c>
      <c r="B253" s="34" t="s">
        <v>295</v>
      </c>
      <c r="C253" s="35">
        <f>Bestämningsfaktor_kommunvis!C243</f>
        <v>14</v>
      </c>
      <c r="D253" s="36">
        <v>-8701</v>
      </c>
      <c r="E253" s="36">
        <v>-66</v>
      </c>
      <c r="F253" s="36">
        <f t="shared" si="18"/>
        <v>8635</v>
      </c>
      <c r="G253" s="36">
        <v>-8784</v>
      </c>
      <c r="H253" s="36">
        <v>-61</v>
      </c>
      <c r="I253" s="36">
        <f t="shared" si="19"/>
        <v>8723</v>
      </c>
      <c r="J253" s="37">
        <f t="shared" si="17"/>
        <v>8679</v>
      </c>
      <c r="K253" s="38">
        <f t="shared" si="20"/>
        <v>4.6551607477317758E-4</v>
      </c>
      <c r="L253" s="37">
        <f>'Social- och hälsovårdskostnader'!$K253*$L$14</f>
        <v>9213.2129355120233</v>
      </c>
      <c r="M253" s="36">
        <v>-25.594150000000003</v>
      </c>
      <c r="N253" s="239">
        <f t="shared" si="21"/>
        <v>9187618.7855120227</v>
      </c>
      <c r="Q253" s="44"/>
      <c r="R253" s="44"/>
      <c r="S253" s="44"/>
      <c r="T253" s="44"/>
      <c r="U253" s="39"/>
      <c r="AE253" s="40"/>
      <c r="AF253" s="7"/>
      <c r="AG253" s="7"/>
      <c r="AH253" s="7"/>
    </row>
    <row r="254" spans="1:37" x14ac:dyDescent="0.35">
      <c r="A254" s="34">
        <v>761</v>
      </c>
      <c r="B254" s="34" t="s">
        <v>296</v>
      </c>
      <c r="C254" s="35">
        <f>Bestämningsfaktor_kommunvis!C244</f>
        <v>2</v>
      </c>
      <c r="D254" s="36">
        <v>-33380</v>
      </c>
      <c r="E254" s="36">
        <v>-369</v>
      </c>
      <c r="F254" s="36">
        <f t="shared" si="18"/>
        <v>33011</v>
      </c>
      <c r="G254" s="36">
        <v>-35387</v>
      </c>
      <c r="H254" s="36">
        <v>-341</v>
      </c>
      <c r="I254" s="36">
        <f t="shared" si="19"/>
        <v>35046</v>
      </c>
      <c r="J254" s="37">
        <f t="shared" si="17"/>
        <v>34028.5</v>
      </c>
      <c r="K254" s="38">
        <f t="shared" si="20"/>
        <v>1.8251888178844422E-3</v>
      </c>
      <c r="L254" s="37">
        <f>'Social- och hälsovårdskostnader'!$K254*$L$14</f>
        <v>36123.034494304753</v>
      </c>
      <c r="M254" s="36">
        <v>-333.30468000000002</v>
      </c>
      <c r="N254" s="239">
        <f t="shared" si="21"/>
        <v>35789729.814304754</v>
      </c>
      <c r="Q254" s="44"/>
      <c r="R254" s="44"/>
      <c r="S254" s="44"/>
      <c r="T254" s="44"/>
      <c r="U254" s="39"/>
      <c r="AE254" s="40"/>
      <c r="AF254" s="7"/>
      <c r="AG254" s="7"/>
      <c r="AH254" s="7"/>
    </row>
    <row r="255" spans="1:37" x14ac:dyDescent="0.35">
      <c r="A255" s="34">
        <v>762</v>
      </c>
      <c r="B255" s="34" t="s">
        <v>297</v>
      </c>
      <c r="C255" s="35">
        <f>Bestämningsfaktor_kommunvis!C245</f>
        <v>11</v>
      </c>
      <c r="D255" s="36">
        <v>-17556</v>
      </c>
      <c r="E255" s="36">
        <v>-160</v>
      </c>
      <c r="F255" s="36">
        <f t="shared" si="18"/>
        <v>17396</v>
      </c>
      <c r="G255" s="36">
        <v>-17459</v>
      </c>
      <c r="H255" s="36">
        <v>-154</v>
      </c>
      <c r="I255" s="36">
        <f t="shared" si="19"/>
        <v>17305</v>
      </c>
      <c r="J255" s="37">
        <f t="shared" si="17"/>
        <v>17350.5</v>
      </c>
      <c r="K255" s="38">
        <f t="shared" si="20"/>
        <v>9.3062987156953766E-4</v>
      </c>
      <c r="L255" s="37">
        <f>'Social- och hälsovårdskostnader'!$K255*$L$14</f>
        <v>18418.464228321394</v>
      </c>
      <c r="M255" s="36">
        <v>-197.69792999999999</v>
      </c>
      <c r="N255" s="239">
        <f t="shared" si="21"/>
        <v>18220766.298321396</v>
      </c>
      <c r="Q255" s="44"/>
      <c r="R255" s="44"/>
      <c r="S255" s="44"/>
      <c r="T255" s="44"/>
      <c r="U255" s="39"/>
      <c r="AE255" s="40"/>
      <c r="AF255" s="7"/>
      <c r="AG255" s="7"/>
      <c r="AH255" s="7"/>
    </row>
    <row r="256" spans="1:37" x14ac:dyDescent="0.35">
      <c r="A256" s="34">
        <v>765</v>
      </c>
      <c r="B256" s="34" t="s">
        <v>298</v>
      </c>
      <c r="C256" s="35">
        <f>Bestämningsfaktor_kommunvis!C246</f>
        <v>18</v>
      </c>
      <c r="D256" s="36">
        <v>-42132</v>
      </c>
      <c r="E256" s="36">
        <v>-300</v>
      </c>
      <c r="F256" s="36">
        <f t="shared" si="18"/>
        <v>41832</v>
      </c>
      <c r="G256" s="36">
        <v>-42624</v>
      </c>
      <c r="H256" s="36">
        <v>-298</v>
      </c>
      <c r="I256" s="36">
        <f t="shared" si="19"/>
        <v>42326</v>
      </c>
      <c r="J256" s="37">
        <f t="shared" si="17"/>
        <v>42079</v>
      </c>
      <c r="K256" s="38">
        <f t="shared" si="20"/>
        <v>2.2569939982003155E-3</v>
      </c>
      <c r="L256" s="37">
        <f>'Social- och hälsovårdskostnader'!$K256*$L$14</f>
        <v>44669.061771334302</v>
      </c>
      <c r="M256" s="36">
        <v>-511.00295</v>
      </c>
      <c r="N256" s="239">
        <f t="shared" si="21"/>
        <v>44158058.821334302</v>
      </c>
      <c r="Q256" s="44"/>
      <c r="R256" s="44"/>
      <c r="S256" s="44"/>
      <c r="T256" s="44"/>
      <c r="U256" s="39"/>
      <c r="AE256" s="40"/>
      <c r="AF256" s="7"/>
      <c r="AG256" s="7"/>
      <c r="AH256" s="7"/>
    </row>
    <row r="257" spans="1:34" x14ac:dyDescent="0.35">
      <c r="A257" s="34">
        <v>768</v>
      </c>
      <c r="B257" s="34" t="s">
        <v>299</v>
      </c>
      <c r="C257" s="35">
        <f>Bestämningsfaktor_kommunvis!C247</f>
        <v>10</v>
      </c>
      <c r="D257" s="36">
        <v>-12100</v>
      </c>
      <c r="E257" s="36">
        <v>-146</v>
      </c>
      <c r="F257" s="36">
        <f t="shared" si="18"/>
        <v>11954</v>
      </c>
      <c r="G257" s="36">
        <v>-11963</v>
      </c>
      <c r="H257" s="36">
        <v>-135</v>
      </c>
      <c r="I257" s="36">
        <f t="shared" si="19"/>
        <v>11828</v>
      </c>
      <c r="J257" s="37">
        <f t="shared" si="17"/>
        <v>11891</v>
      </c>
      <c r="K257" s="38">
        <f t="shared" si="20"/>
        <v>6.3779832297820654E-4</v>
      </c>
      <c r="L257" s="37">
        <f>'Social- och hälsovårdskostnader'!$K257*$L$14</f>
        <v>12622.919116968946</v>
      </c>
      <c r="M257" s="36">
        <v>-83.766670000000005</v>
      </c>
      <c r="N257" s="239">
        <f t="shared" si="21"/>
        <v>12539152.446968945</v>
      </c>
      <c r="Q257" s="44"/>
      <c r="R257" s="44"/>
      <c r="S257" s="44"/>
      <c r="T257" s="44"/>
      <c r="U257" s="39"/>
      <c r="AE257" s="40"/>
      <c r="AF257" s="7"/>
      <c r="AG257" s="7"/>
      <c r="AH257" s="7"/>
    </row>
    <row r="258" spans="1:34" x14ac:dyDescent="0.35">
      <c r="A258" s="34">
        <v>777</v>
      </c>
      <c r="B258" s="34" t="s">
        <v>300</v>
      </c>
      <c r="C258" s="35">
        <f>Bestämningsfaktor_kommunvis!C248</f>
        <v>18</v>
      </c>
      <c r="D258" s="36">
        <v>-39668</v>
      </c>
      <c r="E258" s="36">
        <v>-234</v>
      </c>
      <c r="F258" s="36">
        <f t="shared" si="18"/>
        <v>39434</v>
      </c>
      <c r="G258" s="36">
        <v>-39036</v>
      </c>
      <c r="H258" s="36">
        <v>-233</v>
      </c>
      <c r="I258" s="36">
        <f t="shared" si="19"/>
        <v>38803</v>
      </c>
      <c r="J258" s="37">
        <f t="shared" si="17"/>
        <v>39118.5</v>
      </c>
      <c r="K258" s="38">
        <f t="shared" si="20"/>
        <v>2.0982014714845659E-3</v>
      </c>
      <c r="L258" s="37">
        <f>'Social- och hälsovårdskostnader'!$K258*$L$14</f>
        <v>41526.336008506405</v>
      </c>
      <c r="M258" s="36">
        <v>-352.29340000000002</v>
      </c>
      <c r="N258" s="239">
        <f t="shared" si="21"/>
        <v>41174042.608506404</v>
      </c>
      <c r="Q258" s="44"/>
      <c r="R258" s="44"/>
      <c r="S258" s="44"/>
      <c r="T258" s="44"/>
      <c r="U258" s="39"/>
      <c r="AE258" s="40"/>
      <c r="AF258" s="7"/>
      <c r="AG258" s="7"/>
      <c r="AH258" s="7"/>
    </row>
    <row r="259" spans="1:34" x14ac:dyDescent="0.35">
      <c r="A259" s="34">
        <v>778</v>
      </c>
      <c r="B259" s="34" t="s">
        <v>301</v>
      </c>
      <c r="C259" s="35">
        <f>Bestämningsfaktor_kommunvis!C249</f>
        <v>11</v>
      </c>
      <c r="D259" s="36">
        <v>-31284</v>
      </c>
      <c r="E259" s="36">
        <v>-409</v>
      </c>
      <c r="F259" s="36">
        <f t="shared" si="18"/>
        <v>30875</v>
      </c>
      <c r="G259" s="36">
        <v>-33253</v>
      </c>
      <c r="H259" s="36">
        <v>-414</v>
      </c>
      <c r="I259" s="36">
        <f t="shared" si="19"/>
        <v>32839</v>
      </c>
      <c r="J259" s="37">
        <f t="shared" si="17"/>
        <v>31857</v>
      </c>
      <c r="K259" s="38">
        <f t="shared" si="20"/>
        <v>1.7087159343298903E-3</v>
      </c>
      <c r="L259" s="37">
        <f>'Social- och hälsovårdskostnader'!$K259*$L$14</f>
        <v>33817.873543796122</v>
      </c>
      <c r="M259" s="36">
        <v>-337.33615999999995</v>
      </c>
      <c r="N259" s="239">
        <f t="shared" si="21"/>
        <v>33480537.383796122</v>
      </c>
      <c r="Q259" s="44"/>
      <c r="R259" s="44"/>
      <c r="S259" s="44"/>
      <c r="T259" s="44"/>
      <c r="U259" s="39"/>
      <c r="AE259" s="40"/>
      <c r="AF259" s="7"/>
      <c r="AG259" s="7"/>
      <c r="AH259" s="7"/>
    </row>
    <row r="260" spans="1:34" x14ac:dyDescent="0.35">
      <c r="A260" s="34">
        <v>781</v>
      </c>
      <c r="B260" s="34" t="s">
        <v>302</v>
      </c>
      <c r="C260" s="35">
        <f>Bestämningsfaktor_kommunvis!C250</f>
        <v>7</v>
      </c>
      <c r="D260" s="36">
        <v>-16542</v>
      </c>
      <c r="E260" s="36">
        <v>-177</v>
      </c>
      <c r="F260" s="36">
        <f t="shared" si="18"/>
        <v>16365</v>
      </c>
      <c r="G260" s="36">
        <v>-17054</v>
      </c>
      <c r="H260" s="36">
        <v>-163</v>
      </c>
      <c r="I260" s="36">
        <f t="shared" si="19"/>
        <v>16891</v>
      </c>
      <c r="J260" s="37">
        <f t="shared" si="17"/>
        <v>16628</v>
      </c>
      <c r="K260" s="38">
        <f t="shared" si="20"/>
        <v>8.9187709313612133E-4</v>
      </c>
      <c r="L260" s="37">
        <f>'Social- och hälsovårdskostnader'!$K260*$L$14</f>
        <v>17651.492647965657</v>
      </c>
      <c r="M260" s="36">
        <v>-93.87191</v>
      </c>
      <c r="N260" s="239">
        <f t="shared" si="21"/>
        <v>17557620.737965655</v>
      </c>
      <c r="Q260" s="44"/>
      <c r="R260" s="44"/>
      <c r="S260" s="44"/>
      <c r="T260" s="44"/>
      <c r="U260" s="39"/>
      <c r="AE260" s="40"/>
      <c r="AF260" s="7"/>
      <c r="AG260" s="7"/>
      <c r="AH260" s="7"/>
    </row>
    <row r="261" spans="1:34" x14ac:dyDescent="0.35">
      <c r="A261" s="34">
        <v>783</v>
      </c>
      <c r="B261" s="34" t="s">
        <v>303</v>
      </c>
      <c r="C261" s="35">
        <f>Bestämningsfaktor_kommunvis!C251</f>
        <v>4</v>
      </c>
      <c r="D261" s="36">
        <v>-25527</v>
      </c>
      <c r="E261" s="36">
        <v>-114</v>
      </c>
      <c r="F261" s="36">
        <f t="shared" si="18"/>
        <v>25413</v>
      </c>
      <c r="G261" s="36">
        <v>-25912</v>
      </c>
      <c r="H261" s="36">
        <v>-115</v>
      </c>
      <c r="I261" s="36">
        <f t="shared" si="19"/>
        <v>25797</v>
      </c>
      <c r="J261" s="37">
        <f t="shared" si="17"/>
        <v>25605</v>
      </c>
      <c r="K261" s="38">
        <f t="shared" si="20"/>
        <v>1.3733770128548464E-3</v>
      </c>
      <c r="L261" s="37">
        <f>'Social- och hälsovårdskostnader'!$K261*$L$14</f>
        <v>27181.048186863161</v>
      </c>
      <c r="M261" s="36">
        <v>-144.54264999999998</v>
      </c>
      <c r="N261" s="239">
        <f t="shared" si="21"/>
        <v>27036505.536863163</v>
      </c>
      <c r="Q261" s="44"/>
      <c r="R261" s="44"/>
      <c r="S261" s="44"/>
      <c r="T261" s="44"/>
      <c r="U261" s="39"/>
      <c r="AE261" s="40"/>
      <c r="AF261" s="7"/>
      <c r="AG261" s="7"/>
      <c r="AH261" s="7"/>
    </row>
    <row r="262" spans="1:34" x14ac:dyDescent="0.35">
      <c r="A262" s="34">
        <v>785</v>
      </c>
      <c r="B262" s="34" t="s">
        <v>304</v>
      </c>
      <c r="C262" s="35">
        <f>Bestämningsfaktor_kommunvis!C252</f>
        <v>17</v>
      </c>
      <c r="D262" s="36">
        <v>-14643</v>
      </c>
      <c r="E262" s="36">
        <v>-109</v>
      </c>
      <c r="F262" s="36">
        <f t="shared" si="18"/>
        <v>14534</v>
      </c>
      <c r="G262" s="36">
        <v>-14847</v>
      </c>
      <c r="H262" s="36">
        <v>-114</v>
      </c>
      <c r="I262" s="36">
        <f t="shared" si="19"/>
        <v>14733</v>
      </c>
      <c r="J262" s="37">
        <f t="shared" si="17"/>
        <v>14633.5</v>
      </c>
      <c r="K262" s="38">
        <f t="shared" si="20"/>
        <v>7.8489796983446177E-4</v>
      </c>
      <c r="L262" s="37">
        <f>'Social- och hälsovårdskostnader'!$K262*$L$14</f>
        <v>15534.226465239681</v>
      </c>
      <c r="M262" s="36">
        <v>-48.121919999999996</v>
      </c>
      <c r="N262" s="239">
        <f t="shared" si="21"/>
        <v>15486104.545239681</v>
      </c>
      <c r="Q262" s="44"/>
      <c r="R262" s="44"/>
      <c r="S262" s="44"/>
      <c r="T262" s="44"/>
      <c r="U262" s="39"/>
      <c r="AE262" s="40"/>
      <c r="AF262" s="7"/>
      <c r="AG262" s="7"/>
      <c r="AH262" s="7"/>
    </row>
    <row r="263" spans="1:34" x14ac:dyDescent="0.35">
      <c r="A263" s="34">
        <v>790</v>
      </c>
      <c r="B263" s="34" t="s">
        <v>305</v>
      </c>
      <c r="C263" s="35">
        <f>Bestämningsfaktor_kommunvis!C253</f>
        <v>6</v>
      </c>
      <c r="D263" s="36">
        <v>-91233</v>
      </c>
      <c r="E263" s="36">
        <v>-534</v>
      </c>
      <c r="F263" s="36">
        <f t="shared" si="18"/>
        <v>90699</v>
      </c>
      <c r="G263" s="36">
        <v>-94706</v>
      </c>
      <c r="H263" s="36">
        <v>-553</v>
      </c>
      <c r="I263" s="36">
        <f t="shared" si="19"/>
        <v>94153</v>
      </c>
      <c r="J263" s="37">
        <f t="shared" si="17"/>
        <v>92426</v>
      </c>
      <c r="K263" s="38">
        <f t="shared" si="20"/>
        <v>4.9574592380442111E-3</v>
      </c>
      <c r="L263" s="37">
        <f>'Social- och hälsovårdskostnader'!$K263*$L$14</f>
        <v>98115.038458075156</v>
      </c>
      <c r="M263" s="36">
        <v>-277.54678000000001</v>
      </c>
      <c r="N263" s="239">
        <f t="shared" si="21"/>
        <v>97837491.67807515</v>
      </c>
      <c r="Q263" s="44"/>
      <c r="R263" s="44"/>
      <c r="S263" s="44"/>
      <c r="T263" s="44"/>
      <c r="U263" s="39"/>
      <c r="AE263" s="40"/>
      <c r="AF263" s="7"/>
      <c r="AG263" s="7"/>
      <c r="AH263" s="7"/>
    </row>
    <row r="264" spans="1:34" x14ac:dyDescent="0.35">
      <c r="A264" s="34">
        <v>791</v>
      </c>
      <c r="B264" s="34" t="s">
        <v>306</v>
      </c>
      <c r="C264" s="35">
        <f>Bestämningsfaktor_kommunvis!C254</f>
        <v>17</v>
      </c>
      <c r="D264" s="36">
        <v>-24336</v>
      </c>
      <c r="E264" s="36">
        <v>-233</v>
      </c>
      <c r="F264" s="36">
        <f t="shared" si="18"/>
        <v>24103</v>
      </c>
      <c r="G264" s="36">
        <v>-24357</v>
      </c>
      <c r="H264" s="36">
        <v>-325</v>
      </c>
      <c r="I264" s="36">
        <f t="shared" si="19"/>
        <v>24032</v>
      </c>
      <c r="J264" s="37">
        <f t="shared" si="17"/>
        <v>24067.5</v>
      </c>
      <c r="K264" s="38">
        <f t="shared" si="20"/>
        <v>1.2909100276072647E-3</v>
      </c>
      <c r="L264" s="37">
        <f>'Social- och hälsovårdskostnader'!$K264*$L$14</f>
        <v>25548.911432818946</v>
      </c>
      <c r="M264" s="36">
        <v>-250.67903000000001</v>
      </c>
      <c r="N264" s="239">
        <f t="shared" si="21"/>
        <v>25298232.402818948</v>
      </c>
      <c r="Q264" s="44"/>
      <c r="R264" s="44"/>
      <c r="S264" s="44"/>
      <c r="T264" s="44"/>
      <c r="U264" s="39"/>
      <c r="AE264" s="40"/>
      <c r="AF264" s="7"/>
      <c r="AG264" s="7"/>
      <c r="AH264" s="7"/>
    </row>
    <row r="265" spans="1:34" x14ac:dyDescent="0.35">
      <c r="A265" s="34">
        <v>831</v>
      </c>
      <c r="B265" s="34" t="s">
        <v>307</v>
      </c>
      <c r="C265" s="35">
        <f>Bestämningsfaktor_kommunvis!C255</f>
        <v>9</v>
      </c>
      <c r="D265" s="36">
        <v>-14072</v>
      </c>
      <c r="E265" s="36">
        <v>-55</v>
      </c>
      <c r="F265" s="36">
        <f t="shared" si="18"/>
        <v>14017</v>
      </c>
      <c r="G265" s="36">
        <v>-14804</v>
      </c>
      <c r="H265" s="36">
        <v>-52</v>
      </c>
      <c r="I265" s="36">
        <f t="shared" si="19"/>
        <v>14752</v>
      </c>
      <c r="J265" s="37">
        <f t="shared" si="17"/>
        <v>14384.5</v>
      </c>
      <c r="K265" s="38">
        <f t="shared" si="20"/>
        <v>7.7154234100412181E-4</v>
      </c>
      <c r="L265" s="37">
        <f>'Social- och hälsovårdskostnader'!$K265*$L$14</f>
        <v>15269.899927511548</v>
      </c>
      <c r="M265" s="36">
        <v>-198.65181000000001</v>
      </c>
      <c r="N265" s="239">
        <f t="shared" si="21"/>
        <v>15071248.117511548</v>
      </c>
      <c r="Q265" s="44"/>
      <c r="R265" s="44"/>
      <c r="S265" s="44"/>
      <c r="T265" s="44"/>
      <c r="U265" s="39"/>
      <c r="AE265" s="40"/>
      <c r="AF265" s="7"/>
      <c r="AG265" s="7"/>
      <c r="AH265" s="7"/>
    </row>
    <row r="266" spans="1:34" x14ac:dyDescent="0.35">
      <c r="A266" s="34">
        <v>832</v>
      </c>
      <c r="B266" s="34" t="s">
        <v>308</v>
      </c>
      <c r="C266" s="35">
        <f>Bestämningsfaktor_kommunvis!C256</f>
        <v>17</v>
      </c>
      <c r="D266" s="36">
        <v>-16913</v>
      </c>
      <c r="E266" s="36">
        <v>-115</v>
      </c>
      <c r="F266" s="36">
        <f t="shared" si="18"/>
        <v>16798</v>
      </c>
      <c r="G266" s="36">
        <v>-17503</v>
      </c>
      <c r="H266" s="36">
        <v>-125</v>
      </c>
      <c r="I266" s="36">
        <f t="shared" si="19"/>
        <v>17378</v>
      </c>
      <c r="J266" s="37">
        <f t="shared" si="17"/>
        <v>17088</v>
      </c>
      <c r="K266" s="38">
        <f t="shared" si="20"/>
        <v>9.1655014238092619E-4</v>
      </c>
      <c r="L266" s="37">
        <f>'Social- och hälsovårdskostnader'!$K266*$L$14</f>
        <v>18139.806733728477</v>
      </c>
      <c r="M266" s="36">
        <v>-131.21401</v>
      </c>
      <c r="N266" s="239">
        <f t="shared" si="21"/>
        <v>18008592.723728478</v>
      </c>
      <c r="Q266" s="44"/>
      <c r="R266" s="44"/>
      <c r="S266" s="44"/>
      <c r="T266" s="44"/>
      <c r="U266" s="39"/>
      <c r="AE266" s="40"/>
      <c r="AF266" s="7"/>
      <c r="AG266" s="7"/>
      <c r="AH266" s="7"/>
    </row>
    <row r="267" spans="1:34" x14ac:dyDescent="0.35">
      <c r="A267" s="34">
        <v>833</v>
      </c>
      <c r="B267" s="34" t="s">
        <v>309</v>
      </c>
      <c r="C267" s="35">
        <f>Bestämningsfaktor_kommunvis!C257</f>
        <v>2</v>
      </c>
      <c r="D267" s="36">
        <v>-6247</v>
      </c>
      <c r="E267" s="36">
        <v>-20</v>
      </c>
      <c r="F267" s="36">
        <f t="shared" si="18"/>
        <v>6227</v>
      </c>
      <c r="G267" s="36">
        <v>-6097</v>
      </c>
      <c r="H267" s="36">
        <v>-31</v>
      </c>
      <c r="I267" s="36">
        <f t="shared" si="19"/>
        <v>6066</v>
      </c>
      <c r="J267" s="37">
        <f t="shared" si="17"/>
        <v>6146.5</v>
      </c>
      <c r="K267" s="38">
        <f t="shared" si="20"/>
        <v>3.2968021126781151E-4</v>
      </c>
      <c r="L267" s="37">
        <f>'Social- och hälsovårdskostnader'!$K267*$L$14</f>
        <v>6524.831582915619</v>
      </c>
      <c r="M267" s="36">
        <v>-56.94164</v>
      </c>
      <c r="N267" s="239">
        <f t="shared" si="21"/>
        <v>6467889.9429156194</v>
      </c>
      <c r="Q267" s="44"/>
      <c r="R267" s="44"/>
      <c r="S267" s="44"/>
      <c r="T267" s="44"/>
      <c r="U267" s="39"/>
      <c r="AE267" s="40"/>
      <c r="AF267" s="7"/>
      <c r="AG267" s="7"/>
      <c r="AH267" s="7"/>
    </row>
    <row r="268" spans="1:34" x14ac:dyDescent="0.35">
      <c r="A268" s="34">
        <v>834</v>
      </c>
      <c r="B268" s="34" t="s">
        <v>310</v>
      </c>
      <c r="C268" s="35">
        <f>Bestämningsfaktor_kommunvis!C258</f>
        <v>5</v>
      </c>
      <c r="D268" s="36">
        <v>-19929</v>
      </c>
      <c r="E268" s="36">
        <v>-156</v>
      </c>
      <c r="F268" s="36">
        <f t="shared" si="18"/>
        <v>19773</v>
      </c>
      <c r="G268" s="36">
        <v>-21190</v>
      </c>
      <c r="H268" s="36">
        <v>-152</v>
      </c>
      <c r="I268" s="36">
        <f t="shared" si="19"/>
        <v>21038</v>
      </c>
      <c r="J268" s="37">
        <f t="shared" si="17"/>
        <v>20405.5</v>
      </c>
      <c r="K268" s="38">
        <f t="shared" si="20"/>
        <v>1.0944911007931876E-3</v>
      </c>
      <c r="L268" s="37">
        <f>'Social- och hälsovårdskostnader'!$K268*$L$14</f>
        <v>21661.506689202743</v>
      </c>
      <c r="M268" s="36">
        <v>-146.48407999999998</v>
      </c>
      <c r="N268" s="239">
        <f t="shared" si="21"/>
        <v>21515022.609202743</v>
      </c>
      <c r="Q268" s="44"/>
      <c r="R268" s="44"/>
      <c r="S268" s="44"/>
      <c r="T268" s="44"/>
      <c r="U268" s="39"/>
      <c r="AE268" s="40"/>
      <c r="AF268" s="7"/>
      <c r="AG268" s="7"/>
      <c r="AH268" s="7"/>
    </row>
    <row r="269" spans="1:34" x14ac:dyDescent="0.35">
      <c r="A269" s="34">
        <v>837</v>
      </c>
      <c r="B269" s="34" t="s">
        <v>311</v>
      </c>
      <c r="C269" s="35">
        <f>Bestämningsfaktor_kommunvis!C259</f>
        <v>6</v>
      </c>
      <c r="D269" s="36">
        <v>-776915</v>
      </c>
      <c r="E269" s="36">
        <v>-1258</v>
      </c>
      <c r="F269" s="36">
        <f t="shared" si="18"/>
        <v>775657</v>
      </c>
      <c r="G269" s="36">
        <v>-800538</v>
      </c>
      <c r="H269" s="36">
        <v>-1726</v>
      </c>
      <c r="I269" s="36">
        <f t="shared" si="19"/>
        <v>798812</v>
      </c>
      <c r="J269" s="37">
        <f t="shared" si="17"/>
        <v>787234.5</v>
      </c>
      <c r="K269" s="38">
        <f t="shared" si="20"/>
        <v>4.2224946925455129E-2</v>
      </c>
      <c r="L269" s="37">
        <f>'Social- och hälsovårdskostnader'!$K269*$L$14</f>
        <v>835690.64162707003</v>
      </c>
      <c r="M269" s="36">
        <v>-25098.009190000001</v>
      </c>
      <c r="N269" s="239">
        <f t="shared" si="21"/>
        <v>810592632.43707001</v>
      </c>
      <c r="Q269" s="44"/>
      <c r="R269" s="44"/>
      <c r="S269" s="44"/>
      <c r="T269" s="44"/>
      <c r="U269" s="39"/>
      <c r="AE269" s="40"/>
      <c r="AF269" s="7"/>
      <c r="AG269" s="7"/>
      <c r="AH269" s="7"/>
    </row>
    <row r="270" spans="1:34" x14ac:dyDescent="0.35">
      <c r="A270" s="34">
        <v>844</v>
      </c>
      <c r="B270" s="34" t="s">
        <v>312</v>
      </c>
      <c r="C270" s="35">
        <f>Bestämningsfaktor_kommunvis!C260</f>
        <v>11</v>
      </c>
      <c r="D270" s="36">
        <v>-7872</v>
      </c>
      <c r="E270" s="36">
        <v>-91</v>
      </c>
      <c r="F270" s="36">
        <f t="shared" si="18"/>
        <v>7781</v>
      </c>
      <c r="G270" s="36">
        <v>-8402</v>
      </c>
      <c r="H270" s="36">
        <v>-95</v>
      </c>
      <c r="I270" s="36">
        <f t="shared" si="19"/>
        <v>8307</v>
      </c>
      <c r="J270" s="37">
        <f t="shared" ref="J270:J308" si="22">AVERAGE(F270,I270)</f>
        <v>8044</v>
      </c>
      <c r="K270" s="38">
        <f t="shared" si="20"/>
        <v>4.314565394026317E-4</v>
      </c>
      <c r="L270" s="37">
        <f>'Social- och hälsovårdskostnader'!$K270*$L$14</f>
        <v>8539.1271866872594</v>
      </c>
      <c r="M270" s="36">
        <v>-90.357969999999995</v>
      </c>
      <c r="N270" s="239">
        <f t="shared" si="21"/>
        <v>8448769.2166872602</v>
      </c>
      <c r="Q270" s="44"/>
      <c r="R270" s="44"/>
      <c r="S270" s="44"/>
      <c r="T270" s="44"/>
      <c r="U270" s="39"/>
      <c r="AE270" s="40"/>
      <c r="AF270" s="7"/>
      <c r="AG270" s="7"/>
      <c r="AH270" s="7"/>
    </row>
    <row r="271" spans="1:34" x14ac:dyDescent="0.35">
      <c r="A271" s="34">
        <v>845</v>
      </c>
      <c r="B271" s="34" t="s">
        <v>313</v>
      </c>
      <c r="C271" s="35">
        <f>Bestämningsfaktor_kommunvis!C261</f>
        <v>19</v>
      </c>
      <c r="D271" s="36">
        <v>-12901</v>
      </c>
      <c r="E271" s="36">
        <v>-183</v>
      </c>
      <c r="F271" s="36">
        <f t="shared" ref="F271:F308" si="23">-(D271-E271)</f>
        <v>12718</v>
      </c>
      <c r="G271" s="36">
        <v>-13667</v>
      </c>
      <c r="H271" s="36">
        <v>-190</v>
      </c>
      <c r="I271" s="36">
        <f t="shared" ref="I271:I308" si="24">-(G271-H271)</f>
        <v>13477</v>
      </c>
      <c r="J271" s="37">
        <f t="shared" si="22"/>
        <v>13097.5</v>
      </c>
      <c r="K271" s="38">
        <f t="shared" si="20"/>
        <v>7.0251144018224369E-4</v>
      </c>
      <c r="L271" s="37">
        <f>'Social- och hälsovårdskostnader'!$K271*$L$14</f>
        <v>13903.682039735999</v>
      </c>
      <c r="M271" s="36">
        <v>-116.19846000000001</v>
      </c>
      <c r="N271" s="239">
        <f t="shared" si="21"/>
        <v>13787483.579736</v>
      </c>
      <c r="Q271" s="44"/>
      <c r="R271" s="44"/>
      <c r="S271" s="44"/>
      <c r="T271" s="44"/>
      <c r="U271" s="39"/>
      <c r="AE271" s="40"/>
      <c r="AF271" s="7"/>
      <c r="AG271" s="7"/>
      <c r="AH271" s="7"/>
    </row>
    <row r="272" spans="1:34" x14ac:dyDescent="0.35">
      <c r="A272" s="34">
        <v>846</v>
      </c>
      <c r="B272" s="34" t="s">
        <v>314</v>
      </c>
      <c r="C272" s="35">
        <f>Bestämningsfaktor_kommunvis!C262</f>
        <v>14</v>
      </c>
      <c r="D272" s="36">
        <v>-21588</v>
      </c>
      <c r="E272" s="36">
        <v>-181</v>
      </c>
      <c r="F272" s="36">
        <f t="shared" si="23"/>
        <v>21407</v>
      </c>
      <c r="G272" s="36">
        <v>-22114</v>
      </c>
      <c r="H272" s="36">
        <v>-171</v>
      </c>
      <c r="I272" s="36">
        <f t="shared" si="24"/>
        <v>21943</v>
      </c>
      <c r="J272" s="37">
        <f t="shared" si="22"/>
        <v>21675</v>
      </c>
      <c r="K272" s="38">
        <f t="shared" ref="K272:K308" si="25">J272/$J$14</f>
        <v>1.1625833530024916E-3</v>
      </c>
      <c r="L272" s="37">
        <f>'Social- och hälsovårdskostnader'!$K272*$L$14</f>
        <v>23009.147410672096</v>
      </c>
      <c r="M272" s="36">
        <v>-106.20567</v>
      </c>
      <c r="N272" s="239">
        <f t="shared" ref="N272:N308" si="26">(L272+M272)*1000</f>
        <v>22902941.740672097</v>
      </c>
      <c r="Q272" s="44"/>
      <c r="R272" s="44"/>
      <c r="S272" s="44"/>
      <c r="T272" s="44"/>
      <c r="U272" s="39"/>
      <c r="AE272" s="40"/>
      <c r="AF272" s="7"/>
      <c r="AG272" s="7"/>
      <c r="AH272" s="7"/>
    </row>
    <row r="273" spans="1:34" x14ac:dyDescent="0.35">
      <c r="A273" s="34">
        <v>848</v>
      </c>
      <c r="B273" s="34" t="s">
        <v>315</v>
      </c>
      <c r="C273" s="35">
        <f>Bestämningsfaktor_kommunvis!C263</f>
        <v>12</v>
      </c>
      <c r="D273" s="36">
        <v>-19024</v>
      </c>
      <c r="E273" s="36">
        <v>-214</v>
      </c>
      <c r="F273" s="36">
        <f t="shared" si="23"/>
        <v>18810</v>
      </c>
      <c r="G273" s="36">
        <v>-19743</v>
      </c>
      <c r="H273" s="36">
        <v>-222</v>
      </c>
      <c r="I273" s="36">
        <f t="shared" si="24"/>
        <v>19521</v>
      </c>
      <c r="J273" s="37">
        <f t="shared" si="22"/>
        <v>19165.5</v>
      </c>
      <c r="K273" s="38">
        <f t="shared" si="25"/>
        <v>1.0279811419593658E-3</v>
      </c>
      <c r="L273" s="37">
        <f>'Social- och hälsovårdskostnader'!$K273*$L$14</f>
        <v>20345.181762363834</v>
      </c>
      <c r="M273" s="36">
        <v>-252.41442999999998</v>
      </c>
      <c r="N273" s="239">
        <f t="shared" si="26"/>
        <v>20092767.332363833</v>
      </c>
      <c r="Q273" s="44"/>
      <c r="R273" s="44"/>
      <c r="S273" s="44"/>
      <c r="T273" s="44"/>
      <c r="U273" s="39"/>
      <c r="AE273" s="40"/>
      <c r="AF273" s="7"/>
      <c r="AG273" s="7"/>
      <c r="AH273" s="7"/>
    </row>
    <row r="274" spans="1:34" x14ac:dyDescent="0.35">
      <c r="A274" s="34">
        <v>849</v>
      </c>
      <c r="B274" s="34" t="s">
        <v>316</v>
      </c>
      <c r="C274" s="35">
        <f>Bestämningsfaktor_kommunvis!C264</f>
        <v>16</v>
      </c>
      <c r="D274" s="36">
        <v>-11743</v>
      </c>
      <c r="E274" s="36">
        <v>-252</v>
      </c>
      <c r="F274" s="36">
        <f t="shared" si="23"/>
        <v>11491</v>
      </c>
      <c r="G274" s="36">
        <v>-11531</v>
      </c>
      <c r="H274" s="36">
        <v>-250</v>
      </c>
      <c r="I274" s="36">
        <f t="shared" si="24"/>
        <v>11281</v>
      </c>
      <c r="J274" s="37">
        <f t="shared" si="22"/>
        <v>11386</v>
      </c>
      <c r="K274" s="38">
        <f t="shared" si="25"/>
        <v>6.1071160587249681E-4</v>
      </c>
      <c r="L274" s="37">
        <f>'Social- och hälsovårdskostnader'!$K274*$L$14</f>
        <v>12086.835174990196</v>
      </c>
      <c r="M274" s="36">
        <v>-48.906930000000003</v>
      </c>
      <c r="N274" s="239">
        <f t="shared" si="26"/>
        <v>12037928.244990196</v>
      </c>
      <c r="Q274" s="44"/>
      <c r="R274" s="44"/>
      <c r="S274" s="44"/>
      <c r="T274" s="44"/>
      <c r="U274" s="39"/>
      <c r="AE274" s="40"/>
      <c r="AF274" s="7"/>
      <c r="AG274" s="7"/>
      <c r="AH274" s="7"/>
    </row>
    <row r="275" spans="1:34" x14ac:dyDescent="0.35">
      <c r="A275" s="34">
        <v>850</v>
      </c>
      <c r="B275" s="34" t="s">
        <v>317</v>
      </c>
      <c r="C275" s="35">
        <f>Bestämningsfaktor_kommunvis!C265</f>
        <v>13</v>
      </c>
      <c r="D275" s="36">
        <v>-8299</v>
      </c>
      <c r="E275" s="36">
        <v>-41</v>
      </c>
      <c r="F275" s="36">
        <f t="shared" si="23"/>
        <v>8258</v>
      </c>
      <c r="G275" s="36">
        <v>-8241</v>
      </c>
      <c r="H275" s="36">
        <v>-37</v>
      </c>
      <c r="I275" s="36">
        <f t="shared" si="24"/>
        <v>8204</v>
      </c>
      <c r="J275" s="37">
        <f t="shared" si="22"/>
        <v>8231</v>
      </c>
      <c r="K275" s="38">
        <f t="shared" si="25"/>
        <v>4.4148667029128064E-4</v>
      </c>
      <c r="L275" s="37">
        <f>'Social- och hälsovårdskostnader'!$K275*$L$14</f>
        <v>8737.6374780734495</v>
      </c>
      <c r="M275" s="36">
        <v>-162.43724</v>
      </c>
      <c r="N275" s="239">
        <f t="shared" si="26"/>
        <v>8575200.2380734496</v>
      </c>
      <c r="Q275" s="44"/>
      <c r="R275" s="44"/>
      <c r="S275" s="44"/>
      <c r="T275" s="44"/>
      <c r="U275" s="39"/>
      <c r="AE275" s="40"/>
      <c r="AF275" s="7"/>
      <c r="AG275" s="7"/>
      <c r="AH275" s="7"/>
    </row>
    <row r="276" spans="1:34" x14ac:dyDescent="0.35">
      <c r="A276" s="34">
        <v>851</v>
      </c>
      <c r="B276" s="34" t="s">
        <v>318</v>
      </c>
      <c r="C276" s="35">
        <f>Bestämningsfaktor_kommunvis!C266</f>
        <v>19</v>
      </c>
      <c r="D276" s="36">
        <v>-73416</v>
      </c>
      <c r="E276" s="36">
        <v>-47</v>
      </c>
      <c r="F276" s="36">
        <f t="shared" si="23"/>
        <v>73369</v>
      </c>
      <c r="G276" s="36">
        <v>-77161</v>
      </c>
      <c r="H276" s="36">
        <v>-408</v>
      </c>
      <c r="I276" s="36">
        <f t="shared" si="24"/>
        <v>76753</v>
      </c>
      <c r="J276" s="37">
        <f t="shared" si="22"/>
        <v>75061</v>
      </c>
      <c r="K276" s="38">
        <f t="shared" si="25"/>
        <v>4.0260516290528264E-3</v>
      </c>
      <c r="L276" s="37">
        <f>'Social- och hälsovårdskostnader'!$K276*$L$14</f>
        <v>79681.181720528635</v>
      </c>
      <c r="M276" s="36">
        <v>-1118.5164</v>
      </c>
      <c r="N276" s="239">
        <f t="shared" si="26"/>
        <v>78562665.320528641</v>
      </c>
      <c r="Q276" s="44"/>
      <c r="R276" s="44"/>
      <c r="S276" s="44"/>
      <c r="T276" s="44"/>
      <c r="U276" s="39"/>
      <c r="AE276" s="40"/>
      <c r="AF276" s="7"/>
      <c r="AG276" s="7"/>
      <c r="AH276" s="7"/>
    </row>
    <row r="277" spans="1:34" x14ac:dyDescent="0.35">
      <c r="A277" s="34">
        <v>853</v>
      </c>
      <c r="B277" s="34" t="s">
        <v>319</v>
      </c>
      <c r="C277" s="35">
        <f>Bestämningsfaktor_kommunvis!C267</f>
        <v>2</v>
      </c>
      <c r="D277" s="36">
        <v>-645368</v>
      </c>
      <c r="E277" s="36">
        <v>-520</v>
      </c>
      <c r="F277" s="36">
        <f t="shared" si="23"/>
        <v>644848</v>
      </c>
      <c r="G277" s="36">
        <v>-678939</v>
      </c>
      <c r="H277" s="36">
        <v>-600</v>
      </c>
      <c r="I277" s="36">
        <f t="shared" si="24"/>
        <v>678339</v>
      </c>
      <c r="J277" s="37">
        <f t="shared" si="22"/>
        <v>661593.5</v>
      </c>
      <c r="K277" s="38">
        <f t="shared" si="25"/>
        <v>3.5485932620745279E-2</v>
      </c>
      <c r="L277" s="37">
        <f>'Social- och hälsovårdskostnader'!$K277*$L$14</f>
        <v>702316.14151983813</v>
      </c>
      <c r="M277" s="36">
        <v>-19426.717370000002</v>
      </c>
      <c r="N277" s="239">
        <f t="shared" si="26"/>
        <v>682889424.14983821</v>
      </c>
      <c r="Q277" s="44"/>
      <c r="R277" s="44"/>
      <c r="S277" s="44"/>
      <c r="T277" s="44"/>
      <c r="U277" s="39"/>
      <c r="AE277" s="40"/>
      <c r="AF277" s="7"/>
      <c r="AG277" s="7"/>
      <c r="AH277" s="7"/>
    </row>
    <row r="278" spans="1:34" x14ac:dyDescent="0.35">
      <c r="A278" s="34">
        <v>854</v>
      </c>
      <c r="B278" s="34" t="s">
        <v>320</v>
      </c>
      <c r="C278" s="35">
        <f>Bestämningsfaktor_kommunvis!C268</f>
        <v>19</v>
      </c>
      <c r="D278" s="36">
        <v>-18390</v>
      </c>
      <c r="E278" s="36">
        <v>-127</v>
      </c>
      <c r="F278" s="36">
        <f t="shared" si="23"/>
        <v>18263</v>
      </c>
      <c r="G278" s="36">
        <v>-19698</v>
      </c>
      <c r="H278" s="36">
        <v>-118</v>
      </c>
      <c r="I278" s="36">
        <f t="shared" si="24"/>
        <v>19580</v>
      </c>
      <c r="J278" s="37">
        <f t="shared" si="22"/>
        <v>18921.5</v>
      </c>
      <c r="K278" s="38">
        <f t="shared" si="25"/>
        <v>1.014893698446904E-3</v>
      </c>
      <c r="L278" s="37">
        <f>'Social- och hälsovårdskostnader'!$K278*$L$14</f>
        <v>20086.162986437466</v>
      </c>
      <c r="M278" s="36">
        <v>-71.752080000000007</v>
      </c>
      <c r="N278" s="239">
        <f t="shared" si="26"/>
        <v>20014410.906437468</v>
      </c>
      <c r="Q278" s="44"/>
      <c r="R278" s="44"/>
      <c r="S278" s="44"/>
      <c r="T278" s="44"/>
      <c r="U278" s="39"/>
      <c r="AE278" s="40"/>
      <c r="AF278" s="7"/>
      <c r="AG278" s="7"/>
      <c r="AH278" s="7"/>
    </row>
    <row r="279" spans="1:34" x14ac:dyDescent="0.35">
      <c r="A279" s="34">
        <v>857</v>
      </c>
      <c r="B279" s="34" t="s">
        <v>321</v>
      </c>
      <c r="C279" s="35">
        <f>Bestämningsfaktor_kommunvis!C269</f>
        <v>11</v>
      </c>
      <c r="D279" s="36">
        <v>-12707</v>
      </c>
      <c r="E279" s="36">
        <v>-86</v>
      </c>
      <c r="F279" s="36">
        <f t="shared" si="23"/>
        <v>12621</v>
      </c>
      <c r="G279" s="36">
        <v>-13722</v>
      </c>
      <c r="H279" s="36">
        <v>-106</v>
      </c>
      <c r="I279" s="36">
        <f t="shared" si="24"/>
        <v>13616</v>
      </c>
      <c r="J279" s="37">
        <f t="shared" si="22"/>
        <v>13118.5</v>
      </c>
      <c r="K279" s="38">
        <f t="shared" si="25"/>
        <v>7.0363781851733259E-4</v>
      </c>
      <c r="L279" s="37">
        <f>'Social- och hälsovårdskostnader'!$K279*$L$14</f>
        <v>13925.974639303431</v>
      </c>
      <c r="M279" s="36">
        <v>-174.84567999999999</v>
      </c>
      <c r="N279" s="239">
        <f t="shared" si="26"/>
        <v>13751128.959303431</v>
      </c>
      <c r="Q279" s="44"/>
      <c r="R279" s="44"/>
      <c r="S279" s="44"/>
      <c r="T279" s="44"/>
      <c r="U279" s="39"/>
      <c r="AE279" s="40"/>
      <c r="AF279" s="7"/>
      <c r="AG279" s="7"/>
      <c r="AH279" s="7"/>
    </row>
    <row r="280" spans="1:34" x14ac:dyDescent="0.35">
      <c r="A280" s="34">
        <v>858</v>
      </c>
      <c r="B280" s="34" t="s">
        <v>322</v>
      </c>
      <c r="C280" s="35">
        <f>Bestämningsfaktor_kommunvis!C270</f>
        <v>35</v>
      </c>
      <c r="D280" s="36">
        <v>-112994</v>
      </c>
      <c r="E280" s="36">
        <v>-68</v>
      </c>
      <c r="F280" s="36">
        <f t="shared" si="23"/>
        <v>112926</v>
      </c>
      <c r="G280" s="36">
        <v>-118152</v>
      </c>
      <c r="H280" s="36">
        <v>0</v>
      </c>
      <c r="I280" s="36">
        <f t="shared" si="24"/>
        <v>118152</v>
      </c>
      <c r="J280" s="37">
        <f t="shared" si="22"/>
        <v>115539</v>
      </c>
      <c r="K280" s="38">
        <f t="shared" si="25"/>
        <v>6.1971726884685061E-3</v>
      </c>
      <c r="L280" s="37">
        <f>'Social- och hälsovårdskostnader'!$K280*$L$14</f>
        <v>122650.69816293626</v>
      </c>
      <c r="M280" s="36">
        <v>-1630.15004</v>
      </c>
      <c r="N280" s="239">
        <f t="shared" si="26"/>
        <v>121020548.12293626</v>
      </c>
      <c r="Q280" s="44"/>
      <c r="R280" s="44"/>
      <c r="S280" s="44"/>
      <c r="T280" s="44"/>
      <c r="U280" s="39"/>
      <c r="AE280" s="40"/>
      <c r="AF280" s="7"/>
      <c r="AG280" s="7"/>
      <c r="AH280" s="7"/>
    </row>
    <row r="281" spans="1:34" x14ac:dyDescent="0.35">
      <c r="A281" s="34">
        <v>859</v>
      </c>
      <c r="B281" s="34" t="s">
        <v>323</v>
      </c>
      <c r="C281" s="35">
        <f>Bestämningsfaktor_kommunvis!C271</f>
        <v>17</v>
      </c>
      <c r="D281" s="36">
        <v>-20583</v>
      </c>
      <c r="E281" s="36">
        <v>-150</v>
      </c>
      <c r="F281" s="36">
        <f t="shared" si="23"/>
        <v>20433</v>
      </c>
      <c r="G281" s="36">
        <v>-21029</v>
      </c>
      <c r="H281" s="36">
        <v>-143</v>
      </c>
      <c r="I281" s="36">
        <f t="shared" si="24"/>
        <v>20886</v>
      </c>
      <c r="J281" s="37">
        <f t="shared" si="22"/>
        <v>20659.5</v>
      </c>
      <c r="K281" s="38">
        <f t="shared" si="25"/>
        <v>1.1081149149414059E-3</v>
      </c>
      <c r="L281" s="37">
        <f>'Social- och hälsovårdskostnader'!$K281*$L$14</f>
        <v>21931.140988732648</v>
      </c>
      <c r="M281" s="36">
        <v>-193.08672000000001</v>
      </c>
      <c r="N281" s="239">
        <f t="shared" si="26"/>
        <v>21738054.268732648</v>
      </c>
      <c r="Q281" s="44"/>
      <c r="R281" s="44"/>
      <c r="S281" s="44"/>
      <c r="T281" s="44"/>
      <c r="U281" s="39"/>
      <c r="AE281" s="40"/>
      <c r="AF281" s="7"/>
      <c r="AG281" s="7"/>
      <c r="AH281" s="7"/>
    </row>
    <row r="282" spans="1:34" x14ac:dyDescent="0.35">
      <c r="A282" s="34">
        <v>886</v>
      </c>
      <c r="B282" s="34" t="s">
        <v>324</v>
      </c>
      <c r="C282" s="35">
        <f>Bestämningsfaktor_kommunvis!C272</f>
        <v>4</v>
      </c>
      <c r="D282" s="36">
        <v>-42726</v>
      </c>
      <c r="E282" s="36">
        <v>-212</v>
      </c>
      <c r="F282" s="36">
        <f t="shared" si="23"/>
        <v>42514</v>
      </c>
      <c r="G282" s="36">
        <v>-44574</v>
      </c>
      <c r="H282" s="36">
        <v>-221</v>
      </c>
      <c r="I282" s="36">
        <f t="shared" si="24"/>
        <v>44353</v>
      </c>
      <c r="J282" s="37">
        <f t="shared" si="22"/>
        <v>43433.5</v>
      </c>
      <c r="K282" s="38">
        <f t="shared" si="25"/>
        <v>2.3296454008135507E-3</v>
      </c>
      <c r="L282" s="37">
        <f>'Social- och hälsovårdskostnader'!$K282*$L$14</f>
        <v>46106.934443433747</v>
      </c>
      <c r="M282" s="36">
        <v>-529.33519999999999</v>
      </c>
      <c r="N282" s="239">
        <f t="shared" si="26"/>
        <v>45577599.243433744</v>
      </c>
      <c r="Q282" s="44"/>
      <c r="R282" s="44"/>
      <c r="S282" s="44"/>
      <c r="T282" s="44"/>
      <c r="U282" s="39"/>
      <c r="AE282" s="40"/>
      <c r="AF282" s="7"/>
      <c r="AG282" s="7"/>
      <c r="AH282" s="7"/>
    </row>
    <row r="283" spans="1:34" x14ac:dyDescent="0.35">
      <c r="A283" s="34">
        <v>887</v>
      </c>
      <c r="B283" s="34" t="s">
        <v>325</v>
      </c>
      <c r="C283" s="35">
        <f>Bestämningsfaktor_kommunvis!C273</f>
        <v>6</v>
      </c>
      <c r="D283" s="36">
        <v>-18033</v>
      </c>
      <c r="E283" s="36">
        <v>-125</v>
      </c>
      <c r="F283" s="36">
        <f t="shared" si="23"/>
        <v>17908</v>
      </c>
      <c r="G283" s="36">
        <v>-19663</v>
      </c>
      <c r="H283" s="36">
        <v>-135</v>
      </c>
      <c r="I283" s="36">
        <f t="shared" si="24"/>
        <v>19528</v>
      </c>
      <c r="J283" s="37">
        <f t="shared" si="22"/>
        <v>18718</v>
      </c>
      <c r="K283" s="38">
        <f t="shared" si="25"/>
        <v>1.0039785560092566E-3</v>
      </c>
      <c r="L283" s="37">
        <f>'Social- och hälsovårdskostnader'!$K283*$L$14</f>
        <v>19870.137081105437</v>
      </c>
      <c r="M283" s="36">
        <v>-164.01527999999999</v>
      </c>
      <c r="N283" s="239">
        <f t="shared" si="26"/>
        <v>19706121.801105436</v>
      </c>
      <c r="Q283" s="44"/>
      <c r="R283" s="44"/>
      <c r="S283" s="44"/>
      <c r="T283" s="44"/>
      <c r="U283" s="39"/>
      <c r="AE283" s="40"/>
      <c r="AF283" s="7"/>
      <c r="AG283" s="7"/>
      <c r="AH283" s="7"/>
    </row>
    <row r="284" spans="1:34" x14ac:dyDescent="0.35">
      <c r="A284" s="34">
        <v>889</v>
      </c>
      <c r="B284" s="34" t="s">
        <v>326</v>
      </c>
      <c r="C284" s="35">
        <f>Bestämningsfaktor_kommunvis!C274</f>
        <v>17</v>
      </c>
      <c r="D284" s="36">
        <v>-11004</v>
      </c>
      <c r="E284" s="36">
        <v>-97</v>
      </c>
      <c r="F284" s="36">
        <f t="shared" si="23"/>
        <v>10907</v>
      </c>
      <c r="G284" s="36">
        <v>-11310</v>
      </c>
      <c r="H284" s="36">
        <v>-97</v>
      </c>
      <c r="I284" s="36">
        <f t="shared" si="24"/>
        <v>11213</v>
      </c>
      <c r="J284" s="37">
        <f t="shared" si="22"/>
        <v>11060</v>
      </c>
      <c r="K284" s="38">
        <f t="shared" si="25"/>
        <v>5.9322592314683075E-4</v>
      </c>
      <c r="L284" s="37">
        <f>'Social- och hälsovårdskostnader'!$K284*$L$14</f>
        <v>11740.769105514804</v>
      </c>
      <c r="M284" s="36">
        <v>-40.717289999999998</v>
      </c>
      <c r="N284" s="239">
        <f t="shared" si="26"/>
        <v>11700051.815514803</v>
      </c>
      <c r="Q284" s="44"/>
      <c r="R284" s="44"/>
      <c r="S284" s="44"/>
      <c r="T284" s="44"/>
      <c r="U284" s="39"/>
      <c r="AE284" s="40"/>
      <c r="AF284" s="7"/>
      <c r="AG284" s="7"/>
      <c r="AH284" s="7"/>
    </row>
    <row r="285" spans="1:34" x14ac:dyDescent="0.35">
      <c r="A285" s="34">
        <v>890</v>
      </c>
      <c r="B285" s="34" t="s">
        <v>327</v>
      </c>
      <c r="C285" s="35">
        <f>Bestämningsfaktor_kommunvis!C275</f>
        <v>19</v>
      </c>
      <c r="D285" s="36">
        <v>-5934</v>
      </c>
      <c r="E285" s="36">
        <v>-46</v>
      </c>
      <c r="F285" s="36">
        <f t="shared" si="23"/>
        <v>5888</v>
      </c>
      <c r="G285" s="36">
        <v>-6269</v>
      </c>
      <c r="H285" s="36">
        <v>-50</v>
      </c>
      <c r="I285" s="36">
        <f t="shared" si="24"/>
        <v>6219</v>
      </c>
      <c r="J285" s="37">
        <f t="shared" si="22"/>
        <v>6053.5</v>
      </c>
      <c r="K285" s="38">
        <f t="shared" si="25"/>
        <v>3.2469196435527483E-4</v>
      </c>
      <c r="L285" s="37">
        <f>'Social- och hälsovårdskostnader'!$K285*$L$14</f>
        <v>6426.1072134026999</v>
      </c>
      <c r="M285" s="36">
        <v>-57.070239999999998</v>
      </c>
      <c r="N285" s="239">
        <f t="shared" si="26"/>
        <v>6369036.9734026995</v>
      </c>
      <c r="Q285" s="44"/>
      <c r="R285" s="44"/>
      <c r="S285" s="44"/>
      <c r="T285" s="44"/>
      <c r="U285" s="39"/>
      <c r="AE285" s="40"/>
      <c r="AF285" s="7"/>
      <c r="AG285" s="7"/>
      <c r="AH285" s="7"/>
    </row>
    <row r="286" spans="1:34" x14ac:dyDescent="0.35">
      <c r="A286" s="34">
        <v>892</v>
      </c>
      <c r="B286" s="34" t="s">
        <v>328</v>
      </c>
      <c r="C286" s="35">
        <f>Bestämningsfaktor_kommunvis!C276</f>
        <v>13</v>
      </c>
      <c r="D286" s="36">
        <v>-10496</v>
      </c>
      <c r="E286" s="36">
        <v>-90</v>
      </c>
      <c r="F286" s="36">
        <f t="shared" si="23"/>
        <v>10406</v>
      </c>
      <c r="G286" s="36">
        <v>-11152</v>
      </c>
      <c r="H286" s="36">
        <v>-97</v>
      </c>
      <c r="I286" s="36">
        <f t="shared" si="24"/>
        <v>11055</v>
      </c>
      <c r="J286" s="37">
        <f t="shared" si="22"/>
        <v>10730.5</v>
      </c>
      <c r="K286" s="38">
        <f t="shared" si="25"/>
        <v>5.7555251069864983E-4</v>
      </c>
      <c r="L286" s="37">
        <f>'Social- och hälsovårdskostnader'!$K286*$L$14</f>
        <v>11390.987602778174</v>
      </c>
      <c r="M286" s="36">
        <v>-185.37630999999999</v>
      </c>
      <c r="N286" s="239">
        <f t="shared" si="26"/>
        <v>11205611.292778173</v>
      </c>
      <c r="Q286" s="44"/>
      <c r="R286" s="44"/>
      <c r="S286" s="44"/>
      <c r="T286" s="44"/>
      <c r="U286" s="39"/>
      <c r="AE286" s="40"/>
      <c r="AF286" s="7"/>
      <c r="AG286" s="7"/>
      <c r="AH286" s="7"/>
    </row>
    <row r="287" spans="1:34" x14ac:dyDescent="0.35">
      <c r="A287" s="34">
        <v>893</v>
      </c>
      <c r="B287" s="34" t="s">
        <v>329</v>
      </c>
      <c r="C287" s="35">
        <f>Bestämningsfaktor_kommunvis!C277</f>
        <v>15</v>
      </c>
      <c r="D287" s="36">
        <v>-26101</v>
      </c>
      <c r="E287" s="36">
        <v>-140</v>
      </c>
      <c r="F287" s="36">
        <f t="shared" si="23"/>
        <v>25961</v>
      </c>
      <c r="G287" s="36">
        <v>-28635</v>
      </c>
      <c r="H287" s="36">
        <v>-148</v>
      </c>
      <c r="I287" s="36">
        <f t="shared" si="24"/>
        <v>28487</v>
      </c>
      <c r="J287" s="37">
        <f t="shared" si="22"/>
        <v>27224</v>
      </c>
      <c r="K287" s="38">
        <f t="shared" si="25"/>
        <v>1.4602154187838446E-3</v>
      </c>
      <c r="L287" s="37">
        <f>'Social- och hälsovårdskostnader'!$K287*$L$14</f>
        <v>28899.701458276224</v>
      </c>
      <c r="M287" s="36">
        <v>-50.9587</v>
      </c>
      <c r="N287" s="239">
        <f t="shared" si="26"/>
        <v>28848742.758276224</v>
      </c>
      <c r="Q287" s="44"/>
      <c r="R287" s="44"/>
      <c r="S287" s="44"/>
      <c r="T287" s="44"/>
      <c r="U287" s="39"/>
      <c r="AE287" s="40"/>
      <c r="AF287" s="7"/>
      <c r="AG287" s="7"/>
      <c r="AH287" s="7"/>
    </row>
    <row r="288" spans="1:34" x14ac:dyDescent="0.35">
      <c r="A288" s="34">
        <v>895</v>
      </c>
      <c r="B288" s="34" t="s">
        <v>330</v>
      </c>
      <c r="C288" s="35">
        <f>Bestämningsfaktor_kommunvis!C278</f>
        <v>2</v>
      </c>
      <c r="D288" s="36">
        <v>-58138</v>
      </c>
      <c r="E288" s="36">
        <v>-154</v>
      </c>
      <c r="F288" s="36">
        <f t="shared" si="23"/>
        <v>57984</v>
      </c>
      <c r="G288" s="36">
        <v>-59841</v>
      </c>
      <c r="H288" s="36">
        <v>-91</v>
      </c>
      <c r="I288" s="36">
        <f t="shared" si="24"/>
        <v>59750</v>
      </c>
      <c r="J288" s="37">
        <f t="shared" si="22"/>
        <v>58867</v>
      </c>
      <c r="K288" s="38">
        <f t="shared" si="25"/>
        <v>3.1574530215085429E-3</v>
      </c>
      <c r="L288" s="37">
        <f>'Social- och hälsovårdskostnader'!$K288*$L$14</f>
        <v>62490.402796956601</v>
      </c>
      <c r="M288" s="36">
        <v>-322.20323999999999</v>
      </c>
      <c r="N288" s="239">
        <f t="shared" si="26"/>
        <v>62168199.556956597</v>
      </c>
      <c r="Q288" s="44"/>
      <c r="R288" s="44"/>
      <c r="S288" s="44"/>
      <c r="T288" s="44"/>
      <c r="U288" s="39"/>
      <c r="AE288" s="40"/>
      <c r="AF288" s="7"/>
      <c r="AG288" s="7"/>
      <c r="AH288" s="7"/>
    </row>
    <row r="289" spans="1:34" x14ac:dyDescent="0.35">
      <c r="A289" s="34">
        <v>905</v>
      </c>
      <c r="B289" s="34" t="s">
        <v>331</v>
      </c>
      <c r="C289" s="35">
        <f>Bestämningsfaktor_kommunvis!C279</f>
        <v>15</v>
      </c>
      <c r="D289" s="36">
        <v>-228973</v>
      </c>
      <c r="E289" s="36">
        <v>-639</v>
      </c>
      <c r="F289" s="36">
        <f t="shared" si="23"/>
        <v>228334</v>
      </c>
      <c r="G289" s="36">
        <v>-239784</v>
      </c>
      <c r="H289" s="36">
        <v>-661</v>
      </c>
      <c r="I289" s="36">
        <f t="shared" si="24"/>
        <v>239123</v>
      </c>
      <c r="J289" s="37">
        <f t="shared" si="22"/>
        <v>233728.5</v>
      </c>
      <c r="K289" s="38">
        <f t="shared" si="25"/>
        <v>1.2536510413944307E-2</v>
      </c>
      <c r="L289" s="37">
        <f>'Social- och hälsovårdskostnader'!$K289*$L$14</f>
        <v>248115.04085699067</v>
      </c>
      <c r="M289" s="36">
        <v>-4389.3989800000008</v>
      </c>
      <c r="N289" s="239">
        <f t="shared" si="26"/>
        <v>243725641.87699068</v>
      </c>
      <c r="Q289" s="44"/>
      <c r="R289" s="44"/>
      <c r="S289" s="44"/>
      <c r="T289" s="44"/>
      <c r="U289" s="39"/>
      <c r="AE289" s="40"/>
      <c r="AF289" s="7"/>
      <c r="AG289" s="7"/>
      <c r="AH289" s="7"/>
    </row>
    <row r="290" spans="1:34" x14ac:dyDescent="0.35">
      <c r="A290" s="34">
        <v>908</v>
      </c>
      <c r="B290" s="34" t="s">
        <v>332</v>
      </c>
      <c r="C290" s="35">
        <f>Bestämningsfaktor_kommunvis!C280</f>
        <v>6</v>
      </c>
      <c r="D290" s="36">
        <v>-74027</v>
      </c>
      <c r="E290" s="36">
        <v>-230</v>
      </c>
      <c r="F290" s="36">
        <f t="shared" si="23"/>
        <v>73797</v>
      </c>
      <c r="G290" s="36">
        <v>-76401</v>
      </c>
      <c r="H290" s="36">
        <v>-185</v>
      </c>
      <c r="I290" s="36">
        <f t="shared" si="24"/>
        <v>76216</v>
      </c>
      <c r="J290" s="37">
        <f t="shared" si="22"/>
        <v>75006.5</v>
      </c>
      <c r="K290" s="38">
        <f t="shared" si="25"/>
        <v>4.0231284090879527E-3</v>
      </c>
      <c r="L290" s="37">
        <f>'Social- och hälsovårdskostnader'!$K290*$L$14</f>
        <v>79623.327116889341</v>
      </c>
      <c r="M290" s="36">
        <v>-795.58451000000002</v>
      </c>
      <c r="N290" s="239">
        <f t="shared" si="26"/>
        <v>78827742.606889337</v>
      </c>
      <c r="Q290" s="44"/>
      <c r="R290" s="44"/>
      <c r="S290" s="44"/>
      <c r="T290" s="44"/>
      <c r="U290" s="39"/>
      <c r="AE290" s="40"/>
      <c r="AF290" s="7"/>
      <c r="AG290" s="7"/>
      <c r="AH290" s="7"/>
    </row>
    <row r="291" spans="1:34" x14ac:dyDescent="0.35">
      <c r="A291" s="34">
        <v>915</v>
      </c>
      <c r="B291" s="34" t="s">
        <v>333</v>
      </c>
      <c r="C291" s="35">
        <f>Bestämningsfaktor_kommunvis!C281</f>
        <v>11</v>
      </c>
      <c r="D291" s="36">
        <v>-84101</v>
      </c>
      <c r="E291" s="36">
        <v>-202</v>
      </c>
      <c r="F291" s="36">
        <f t="shared" si="23"/>
        <v>83899</v>
      </c>
      <c r="G291" s="36">
        <v>-86221</v>
      </c>
      <c r="H291" s="36">
        <v>-176</v>
      </c>
      <c r="I291" s="36">
        <f t="shared" si="24"/>
        <v>86045</v>
      </c>
      <c r="J291" s="37">
        <f t="shared" si="22"/>
        <v>84972</v>
      </c>
      <c r="K291" s="38">
        <f t="shared" si="25"/>
        <v>4.5576485661512206E-3</v>
      </c>
      <c r="L291" s="37">
        <f>'Social- och hälsovårdskostnader'!$K291*$L$14</f>
        <v>90202.227163996737</v>
      </c>
      <c r="M291" s="36">
        <v>-1694.8324399999999</v>
      </c>
      <c r="N291" s="239">
        <f t="shared" si="26"/>
        <v>88507394.723996744</v>
      </c>
      <c r="Q291" s="44"/>
      <c r="R291" s="44"/>
      <c r="S291" s="44"/>
      <c r="T291" s="44"/>
      <c r="U291" s="39"/>
      <c r="AE291" s="40"/>
      <c r="AF291" s="7"/>
      <c r="AG291" s="7"/>
      <c r="AH291" s="7"/>
    </row>
    <row r="292" spans="1:34" x14ac:dyDescent="0.35">
      <c r="A292" s="34">
        <v>918</v>
      </c>
      <c r="B292" s="34" t="s">
        <v>334</v>
      </c>
      <c r="C292" s="35">
        <f>Bestämningsfaktor_kommunvis!C282</f>
        <v>2</v>
      </c>
      <c r="D292" s="36">
        <v>-10321</v>
      </c>
      <c r="E292" s="36">
        <v>-77</v>
      </c>
      <c r="F292" s="36">
        <f t="shared" si="23"/>
        <v>10244</v>
      </c>
      <c r="G292" s="36">
        <v>-9795</v>
      </c>
      <c r="H292" s="36">
        <v>-64</v>
      </c>
      <c r="I292" s="36">
        <f t="shared" si="24"/>
        <v>9731</v>
      </c>
      <c r="J292" s="37">
        <f t="shared" si="22"/>
        <v>9987.5</v>
      </c>
      <c r="K292" s="38">
        <f t="shared" si="25"/>
        <v>5.3570017246193239E-4</v>
      </c>
      <c r="L292" s="37">
        <f>'Social- och hälsovårdskostnader'!$K292*$L$14</f>
        <v>10602.254199035182</v>
      </c>
      <c r="M292" s="36">
        <v>-61.599429999999998</v>
      </c>
      <c r="N292" s="239">
        <f t="shared" si="26"/>
        <v>10540654.769035181</v>
      </c>
      <c r="Q292" s="44"/>
      <c r="R292" s="44"/>
      <c r="S292" s="44"/>
      <c r="T292" s="44"/>
      <c r="U292" s="39"/>
      <c r="AE292" s="40"/>
      <c r="AF292" s="7"/>
      <c r="AG292" s="7"/>
      <c r="AH292" s="7"/>
    </row>
    <row r="293" spans="1:34" x14ac:dyDescent="0.35">
      <c r="A293" s="34">
        <v>921</v>
      </c>
      <c r="B293" s="34" t="s">
        <v>335</v>
      </c>
      <c r="C293" s="35">
        <f>Bestämningsfaktor_kommunvis!C283</f>
        <v>11</v>
      </c>
      <c r="D293" s="36">
        <v>-10706</v>
      </c>
      <c r="E293" s="36">
        <v>-118</v>
      </c>
      <c r="F293" s="36">
        <f t="shared" si="23"/>
        <v>10588</v>
      </c>
      <c r="G293" s="36">
        <v>-11048</v>
      </c>
      <c r="H293" s="36">
        <v>-119</v>
      </c>
      <c r="I293" s="36">
        <f t="shared" si="24"/>
        <v>10929</v>
      </c>
      <c r="J293" s="37">
        <f t="shared" si="22"/>
        <v>10758.5</v>
      </c>
      <c r="K293" s="38">
        <f t="shared" si="25"/>
        <v>5.7705434847876843E-4</v>
      </c>
      <c r="L293" s="37">
        <f>'Social- och hälsovårdskostnader'!$K293*$L$14</f>
        <v>11420.711068868086</v>
      </c>
      <c r="M293" s="36">
        <v>-98.444879999999998</v>
      </c>
      <c r="N293" s="239">
        <f t="shared" si="26"/>
        <v>11322266.188868087</v>
      </c>
      <c r="Q293" s="44"/>
      <c r="R293" s="44"/>
      <c r="S293" s="44"/>
      <c r="T293" s="44"/>
      <c r="U293" s="39"/>
      <c r="AE293" s="40"/>
      <c r="AF293" s="7"/>
      <c r="AG293" s="7"/>
      <c r="AH293" s="7"/>
    </row>
    <row r="294" spans="1:34" x14ac:dyDescent="0.35">
      <c r="A294" s="34">
        <v>922</v>
      </c>
      <c r="B294" s="34" t="s">
        <v>336</v>
      </c>
      <c r="C294" s="35">
        <f>Bestämningsfaktor_kommunvis!C284</f>
        <v>6</v>
      </c>
      <c r="D294" s="36">
        <v>-14049</v>
      </c>
      <c r="E294" s="36">
        <v>-103</v>
      </c>
      <c r="F294" s="36">
        <f t="shared" si="23"/>
        <v>13946</v>
      </c>
      <c r="G294" s="36">
        <v>-14032</v>
      </c>
      <c r="H294" s="36">
        <v>-116</v>
      </c>
      <c r="I294" s="36">
        <f t="shared" si="24"/>
        <v>13916</v>
      </c>
      <c r="J294" s="37">
        <f t="shared" si="22"/>
        <v>13931</v>
      </c>
      <c r="K294" s="38">
        <f t="shared" si="25"/>
        <v>7.4721793267255865E-4</v>
      </c>
      <c r="L294" s="37">
        <f>'Social- och hälsovårdskostnader'!$K294*$L$14</f>
        <v>14788.485932091024</v>
      </c>
      <c r="M294" s="36">
        <v>-103.56583999999999</v>
      </c>
      <c r="N294" s="239">
        <f t="shared" si="26"/>
        <v>14684920.092091024</v>
      </c>
      <c r="Q294" s="44"/>
      <c r="R294" s="44"/>
      <c r="S294" s="44"/>
      <c r="T294" s="44"/>
      <c r="U294" s="39"/>
      <c r="AE294" s="40"/>
      <c r="AF294" s="7"/>
      <c r="AG294" s="7"/>
      <c r="AH294" s="7"/>
    </row>
    <row r="295" spans="1:34" x14ac:dyDescent="0.35">
      <c r="A295" s="34">
        <v>924</v>
      </c>
      <c r="B295" s="34" t="s">
        <v>337</v>
      </c>
      <c r="C295" s="35">
        <f>Bestämningsfaktor_kommunvis!C285</f>
        <v>16</v>
      </c>
      <c r="D295" s="36">
        <v>-13539</v>
      </c>
      <c r="E295" s="36">
        <v>-194</v>
      </c>
      <c r="F295" s="36">
        <f t="shared" si="23"/>
        <v>13345</v>
      </c>
      <c r="G295" s="36">
        <v>-13075</v>
      </c>
      <c r="H295" s="36">
        <v>-143</v>
      </c>
      <c r="I295" s="36">
        <f t="shared" si="24"/>
        <v>12932</v>
      </c>
      <c r="J295" s="37">
        <f t="shared" si="22"/>
        <v>13138.5</v>
      </c>
      <c r="K295" s="38">
        <f t="shared" si="25"/>
        <v>7.0471055978884591E-4</v>
      </c>
      <c r="L295" s="37">
        <f>'Social- och hälsovårdskostnader'!$K295*$L$14</f>
        <v>13947.205686510511</v>
      </c>
      <c r="M295" s="36">
        <v>-54.661449999999995</v>
      </c>
      <c r="N295" s="239">
        <f t="shared" si="26"/>
        <v>13892544.236510511</v>
      </c>
      <c r="Q295" s="44"/>
      <c r="R295" s="44"/>
      <c r="S295" s="44"/>
      <c r="T295" s="44"/>
      <c r="U295" s="39"/>
      <c r="AE295" s="40"/>
      <c r="AF295" s="7"/>
      <c r="AG295" s="7"/>
      <c r="AH295" s="7"/>
    </row>
    <row r="296" spans="1:34" x14ac:dyDescent="0.35">
      <c r="A296" s="34">
        <v>925</v>
      </c>
      <c r="B296" s="34" t="s">
        <v>338</v>
      </c>
      <c r="C296" s="35">
        <f>Bestämningsfaktor_kommunvis!C286</f>
        <v>11</v>
      </c>
      <c r="D296" s="36">
        <v>-13540</v>
      </c>
      <c r="E296" s="36">
        <v>-144</v>
      </c>
      <c r="F296" s="36">
        <f t="shared" si="23"/>
        <v>13396</v>
      </c>
      <c r="G296" s="36">
        <v>-14060</v>
      </c>
      <c r="H296" s="36">
        <v>-143</v>
      </c>
      <c r="I296" s="36">
        <f t="shared" si="24"/>
        <v>13917</v>
      </c>
      <c r="J296" s="37">
        <f t="shared" si="22"/>
        <v>13656.5</v>
      </c>
      <c r="K296" s="38">
        <f t="shared" si="25"/>
        <v>7.3249455872103925E-4</v>
      </c>
      <c r="L296" s="37">
        <f>'Social- och hälsovårdskostnader'!$K296*$L$14</f>
        <v>14497.089809173864</v>
      </c>
      <c r="M296" s="36">
        <v>-201.90564999999998</v>
      </c>
      <c r="N296" s="239">
        <f t="shared" si="26"/>
        <v>14295184.159173863</v>
      </c>
      <c r="Q296" s="44"/>
      <c r="R296" s="44"/>
      <c r="S296" s="44"/>
      <c r="T296" s="44"/>
      <c r="U296" s="39"/>
      <c r="AE296" s="40"/>
      <c r="AF296" s="7"/>
      <c r="AG296" s="7"/>
      <c r="AH296" s="7"/>
    </row>
    <row r="297" spans="1:34" x14ac:dyDescent="0.35">
      <c r="A297" s="34">
        <v>927</v>
      </c>
      <c r="B297" s="34" t="s">
        <v>339</v>
      </c>
      <c r="C297" s="35">
        <f>Bestämningsfaktor_kommunvis!C287</f>
        <v>33</v>
      </c>
      <c r="D297" s="36">
        <v>-85493</v>
      </c>
      <c r="E297" s="36">
        <v>-323</v>
      </c>
      <c r="F297" s="36">
        <f t="shared" si="23"/>
        <v>85170</v>
      </c>
      <c r="G297" s="36">
        <v>-91090</v>
      </c>
      <c r="H297" s="36">
        <v>-286</v>
      </c>
      <c r="I297" s="36">
        <f t="shared" si="24"/>
        <v>90804</v>
      </c>
      <c r="J297" s="37">
        <f t="shared" si="22"/>
        <v>87987</v>
      </c>
      <c r="K297" s="38">
        <f t="shared" si="25"/>
        <v>4.719364312831844E-3</v>
      </c>
      <c r="L297" s="37">
        <f>'Social- och hälsovårdskostnader'!$K297*$L$14</f>
        <v>93402.807530463921</v>
      </c>
      <c r="M297" s="36">
        <v>-1349.38897</v>
      </c>
      <c r="N297" s="239">
        <f t="shared" si="26"/>
        <v>92053418.56046392</v>
      </c>
      <c r="Q297" s="44"/>
      <c r="R297" s="44"/>
      <c r="S297" s="44"/>
      <c r="T297" s="44"/>
      <c r="U297" s="39"/>
      <c r="AE297" s="40"/>
      <c r="AF297" s="7"/>
      <c r="AG297" s="7"/>
      <c r="AH297" s="7"/>
    </row>
    <row r="298" spans="1:34" x14ac:dyDescent="0.35">
      <c r="A298" s="34">
        <v>931</v>
      </c>
      <c r="B298" s="34" t="s">
        <v>340</v>
      </c>
      <c r="C298" s="35">
        <f>Bestämningsfaktor_kommunvis!C288</f>
        <v>13</v>
      </c>
      <c r="D298" s="36">
        <v>-27710</v>
      </c>
      <c r="E298" s="36">
        <v>-221</v>
      </c>
      <c r="F298" s="36">
        <f t="shared" si="23"/>
        <v>27489</v>
      </c>
      <c r="G298" s="36">
        <v>-29406</v>
      </c>
      <c r="H298" s="36">
        <v>-162</v>
      </c>
      <c r="I298" s="36">
        <f t="shared" si="24"/>
        <v>29244</v>
      </c>
      <c r="J298" s="37">
        <f t="shared" si="22"/>
        <v>28366.5</v>
      </c>
      <c r="K298" s="38">
        <f t="shared" si="25"/>
        <v>1.5214957639190392E-3</v>
      </c>
      <c r="L298" s="37">
        <f>'Social- och hälsovårdskostnader'!$K298*$L$14</f>
        <v>30112.525029980621</v>
      </c>
      <c r="M298" s="36">
        <v>-191.50187</v>
      </c>
      <c r="N298" s="239">
        <f t="shared" si="26"/>
        <v>29921023.159980621</v>
      </c>
      <c r="Q298" s="44"/>
      <c r="R298" s="44"/>
      <c r="S298" s="44"/>
      <c r="T298" s="44"/>
      <c r="U298" s="39"/>
      <c r="AE298" s="40"/>
      <c r="AF298" s="7"/>
      <c r="AG298" s="7"/>
      <c r="AH298" s="7"/>
    </row>
    <row r="299" spans="1:34" x14ac:dyDescent="0.35">
      <c r="A299" s="34">
        <v>934</v>
      </c>
      <c r="B299" s="34" t="s">
        <v>341</v>
      </c>
      <c r="C299" s="35">
        <f>Bestämningsfaktor_kommunvis!C289</f>
        <v>14</v>
      </c>
      <c r="D299" s="36">
        <v>-11645</v>
      </c>
      <c r="E299" s="36">
        <v>-72</v>
      </c>
      <c r="F299" s="36">
        <f t="shared" si="23"/>
        <v>11573</v>
      </c>
      <c r="G299" s="36">
        <v>-12675</v>
      </c>
      <c r="H299" s="36">
        <v>-62</v>
      </c>
      <c r="I299" s="36">
        <f t="shared" si="24"/>
        <v>12613</v>
      </c>
      <c r="J299" s="37">
        <f t="shared" si="22"/>
        <v>12093</v>
      </c>
      <c r="K299" s="38">
        <f t="shared" si="25"/>
        <v>6.4863300982049047E-4</v>
      </c>
      <c r="L299" s="37">
        <f>'Social- och hälsovårdskostnader'!$K299*$L$14</f>
        <v>12837.352693760446</v>
      </c>
      <c r="M299" s="36">
        <v>-64.519199999999998</v>
      </c>
      <c r="N299" s="239">
        <f t="shared" si="26"/>
        <v>12772833.493760444</v>
      </c>
      <c r="Q299" s="44"/>
      <c r="R299" s="44"/>
      <c r="S299" s="44"/>
      <c r="T299" s="44"/>
      <c r="U299" s="39"/>
      <c r="AE299" s="40"/>
      <c r="AF299" s="7"/>
      <c r="AG299" s="7"/>
      <c r="AH299" s="7"/>
    </row>
    <row r="300" spans="1:34" x14ac:dyDescent="0.35">
      <c r="A300" s="34">
        <v>935</v>
      </c>
      <c r="B300" s="34" t="s">
        <v>342</v>
      </c>
      <c r="C300" s="35">
        <f>Bestämningsfaktor_kommunvis!C290</f>
        <v>8</v>
      </c>
      <c r="D300" s="36">
        <v>-10698</v>
      </c>
      <c r="E300" s="36">
        <v>-95</v>
      </c>
      <c r="F300" s="36">
        <f t="shared" si="23"/>
        <v>10603</v>
      </c>
      <c r="G300" s="36">
        <v>-11080</v>
      </c>
      <c r="H300" s="36">
        <v>-100</v>
      </c>
      <c r="I300" s="36">
        <f t="shared" si="24"/>
        <v>10980</v>
      </c>
      <c r="J300" s="37">
        <f t="shared" si="22"/>
        <v>10791.5</v>
      </c>
      <c r="K300" s="38">
        <f t="shared" si="25"/>
        <v>5.7882437157676526E-4</v>
      </c>
      <c r="L300" s="37">
        <f>'Social- och hälsovårdskostnader'!$K300*$L$14</f>
        <v>11455.742296759765</v>
      </c>
      <c r="M300" s="36">
        <v>-184.11145999999999</v>
      </c>
      <c r="N300" s="239">
        <f t="shared" si="26"/>
        <v>11271630.836759765</v>
      </c>
      <c r="Q300" s="44"/>
      <c r="R300" s="44"/>
      <c r="S300" s="44"/>
      <c r="T300" s="44"/>
      <c r="U300" s="39"/>
      <c r="AE300" s="40"/>
      <c r="AF300" s="7"/>
      <c r="AG300" s="7"/>
      <c r="AH300" s="7"/>
    </row>
    <row r="301" spans="1:34" x14ac:dyDescent="0.35">
      <c r="A301" s="34">
        <v>936</v>
      </c>
      <c r="B301" s="34" t="s">
        <v>343</v>
      </c>
      <c r="C301" s="35">
        <f>Bestämningsfaktor_kommunvis!C291</f>
        <v>6</v>
      </c>
      <c r="D301" s="36">
        <v>-27689</v>
      </c>
      <c r="E301" s="36">
        <v>-215</v>
      </c>
      <c r="F301" s="36">
        <f t="shared" si="23"/>
        <v>27474</v>
      </c>
      <c r="G301" s="36">
        <v>-29247</v>
      </c>
      <c r="H301" s="36">
        <v>-235</v>
      </c>
      <c r="I301" s="36">
        <f t="shared" si="24"/>
        <v>29012</v>
      </c>
      <c r="J301" s="37">
        <f t="shared" si="22"/>
        <v>28243</v>
      </c>
      <c r="K301" s="38">
        <f t="shared" si="25"/>
        <v>1.5148715865674449E-3</v>
      </c>
      <c r="L301" s="37">
        <f>'Social- och hälsovårdskostnader'!$K301*$L$14</f>
        <v>29981.423313476909</v>
      </c>
      <c r="M301" s="36">
        <v>-162.57408999999998</v>
      </c>
      <c r="N301" s="239">
        <f t="shared" si="26"/>
        <v>29818849.223476913</v>
      </c>
      <c r="Q301" s="44"/>
      <c r="R301" s="44"/>
      <c r="S301" s="44"/>
      <c r="T301" s="44"/>
      <c r="U301" s="39"/>
      <c r="AE301" s="40"/>
      <c r="AF301" s="7"/>
      <c r="AG301" s="7"/>
      <c r="AH301" s="7"/>
    </row>
    <row r="302" spans="1:34" x14ac:dyDescent="0.35">
      <c r="A302" s="34">
        <v>946</v>
      </c>
      <c r="B302" s="34" t="s">
        <v>344</v>
      </c>
      <c r="C302" s="35">
        <f>Bestämningsfaktor_kommunvis!C292</f>
        <v>15</v>
      </c>
      <c r="D302" s="36">
        <v>-22321</v>
      </c>
      <c r="E302" s="36">
        <v>-131</v>
      </c>
      <c r="F302" s="36">
        <f t="shared" si="23"/>
        <v>22190</v>
      </c>
      <c r="G302" s="36">
        <v>-25225</v>
      </c>
      <c r="H302" s="36">
        <v>-164</v>
      </c>
      <c r="I302" s="36">
        <f t="shared" si="24"/>
        <v>25061</v>
      </c>
      <c r="J302" s="37">
        <f t="shared" si="22"/>
        <v>23625.5</v>
      </c>
      <c r="K302" s="38">
        <f t="shared" si="25"/>
        <v>1.2672024455068218E-3</v>
      </c>
      <c r="L302" s="37">
        <f>'Social- och hälsovårdskostnader'!$K302*$L$14</f>
        <v>25079.705289542497</v>
      </c>
      <c r="M302" s="36">
        <v>-167.56903</v>
      </c>
      <c r="N302" s="239">
        <f t="shared" si="26"/>
        <v>24912136.259542499</v>
      </c>
      <c r="Q302" s="44"/>
      <c r="R302" s="44"/>
      <c r="S302" s="44"/>
      <c r="T302" s="44"/>
      <c r="U302" s="39"/>
      <c r="AE302" s="40"/>
      <c r="AF302" s="7"/>
      <c r="AG302" s="7"/>
      <c r="AH302" s="7"/>
    </row>
    <row r="303" spans="1:34" x14ac:dyDescent="0.35">
      <c r="A303" s="34">
        <v>976</v>
      </c>
      <c r="B303" s="34" t="s">
        <v>345</v>
      </c>
      <c r="C303" s="35">
        <f>Bestämningsfaktor_kommunvis!C293</f>
        <v>19</v>
      </c>
      <c r="D303" s="36">
        <v>-21997</v>
      </c>
      <c r="E303" s="36">
        <v>-191</v>
      </c>
      <c r="F303" s="36">
        <f t="shared" si="23"/>
        <v>21806</v>
      </c>
      <c r="G303" s="36">
        <v>-21069</v>
      </c>
      <c r="H303" s="36">
        <v>-194</v>
      </c>
      <c r="I303" s="36">
        <f t="shared" si="24"/>
        <v>20875</v>
      </c>
      <c r="J303" s="37">
        <f t="shared" si="22"/>
        <v>21340.5</v>
      </c>
      <c r="K303" s="38">
        <f t="shared" si="25"/>
        <v>1.1446417552364323E-3</v>
      </c>
      <c r="L303" s="37">
        <f>'Social- och hälsovårdskostnader'!$K303*$L$14</f>
        <v>22654.058146133695</v>
      </c>
      <c r="M303" s="36">
        <v>-133.63595000000001</v>
      </c>
      <c r="N303" s="239">
        <f t="shared" si="26"/>
        <v>22520422.196133696</v>
      </c>
      <c r="Q303" s="44"/>
      <c r="R303" s="44"/>
      <c r="S303" s="44"/>
      <c r="T303" s="44"/>
      <c r="U303" s="39"/>
      <c r="AE303" s="40"/>
      <c r="AF303" s="7"/>
      <c r="AG303" s="7"/>
      <c r="AH303" s="7"/>
    </row>
    <row r="304" spans="1:34" x14ac:dyDescent="0.35">
      <c r="A304" s="34">
        <v>977</v>
      </c>
      <c r="B304" s="34" t="s">
        <v>346</v>
      </c>
      <c r="C304" s="35">
        <f>Bestämningsfaktor_kommunvis!C294</f>
        <v>17</v>
      </c>
      <c r="D304" s="36">
        <v>-51300</v>
      </c>
      <c r="E304" s="36">
        <v>-327</v>
      </c>
      <c r="F304" s="36">
        <f t="shared" si="23"/>
        <v>50973</v>
      </c>
      <c r="G304" s="36">
        <v>-54902</v>
      </c>
      <c r="H304" s="36">
        <v>-374</v>
      </c>
      <c r="I304" s="36">
        <f t="shared" si="24"/>
        <v>54528</v>
      </c>
      <c r="J304" s="37">
        <f t="shared" si="22"/>
        <v>52750.5</v>
      </c>
      <c r="K304" s="38">
        <f t="shared" si="25"/>
        <v>2.8293819221480014E-3</v>
      </c>
      <c r="L304" s="37">
        <f>'Social- och hälsovårdskostnader'!$K304*$L$14</f>
        <v>55997.417784851597</v>
      </c>
      <c r="M304" s="36">
        <v>-967.96395999999993</v>
      </c>
      <c r="N304" s="239">
        <f t="shared" si="26"/>
        <v>55029453.824851595</v>
      </c>
      <c r="Q304" s="44"/>
      <c r="R304" s="44"/>
      <c r="S304" s="44"/>
      <c r="T304" s="44"/>
      <c r="U304" s="39"/>
      <c r="AE304" s="40"/>
      <c r="AF304" s="7"/>
      <c r="AG304" s="7"/>
      <c r="AH304" s="7"/>
    </row>
    <row r="305" spans="1:34" x14ac:dyDescent="0.35">
      <c r="A305" s="34">
        <v>980</v>
      </c>
      <c r="B305" s="34" t="s">
        <v>347</v>
      </c>
      <c r="C305" s="35">
        <f>Bestämningsfaktor_kommunvis!C295</f>
        <v>6</v>
      </c>
      <c r="D305" s="36">
        <v>-89455</v>
      </c>
      <c r="E305" s="36">
        <v>-316</v>
      </c>
      <c r="F305" s="36">
        <f t="shared" si="23"/>
        <v>89139</v>
      </c>
      <c r="G305" s="36">
        <v>-94385</v>
      </c>
      <c r="H305" s="36">
        <v>-294</v>
      </c>
      <c r="I305" s="36">
        <f t="shared" si="24"/>
        <v>94091</v>
      </c>
      <c r="J305" s="37">
        <f t="shared" si="22"/>
        <v>91615</v>
      </c>
      <c r="K305" s="38">
        <f t="shared" si="25"/>
        <v>4.9139595794843493E-3</v>
      </c>
      <c r="L305" s="37">
        <f>'Social- och hälsovårdskostnader'!$K305*$L$14</f>
        <v>97254.119493828111</v>
      </c>
      <c r="M305" s="36">
        <v>-1151.30396</v>
      </c>
      <c r="N305" s="239">
        <f t="shared" si="26"/>
        <v>96102815.53382811</v>
      </c>
      <c r="Q305" s="44"/>
      <c r="R305" s="44"/>
      <c r="S305" s="44"/>
      <c r="T305" s="44"/>
      <c r="U305" s="39"/>
      <c r="AE305" s="40"/>
      <c r="AF305" s="7"/>
      <c r="AG305" s="7"/>
      <c r="AH305" s="7"/>
    </row>
    <row r="306" spans="1:34" x14ac:dyDescent="0.35">
      <c r="A306" s="34">
        <v>981</v>
      </c>
      <c r="B306" s="34" t="s">
        <v>348</v>
      </c>
      <c r="C306" s="35">
        <f>Bestämningsfaktor_kommunvis!C296</f>
        <v>5</v>
      </c>
      <c r="D306" s="36">
        <v>-7741</v>
      </c>
      <c r="E306" s="36">
        <v>-55</v>
      </c>
      <c r="F306" s="36">
        <f t="shared" si="23"/>
        <v>7686</v>
      </c>
      <c r="G306" s="36">
        <v>-7922</v>
      </c>
      <c r="H306" s="36">
        <v>-58</v>
      </c>
      <c r="I306" s="36">
        <f t="shared" si="24"/>
        <v>7864</v>
      </c>
      <c r="J306" s="37">
        <f t="shared" si="22"/>
        <v>7775</v>
      </c>
      <c r="K306" s="38">
        <f t="shared" si="25"/>
        <v>4.1702816930077837E-4</v>
      </c>
      <c r="L306" s="37">
        <f>'Social- och hälsovårdskostnader'!$K306*$L$14</f>
        <v>8253.569601752044</v>
      </c>
      <c r="M306" s="36">
        <v>-99.790360000000007</v>
      </c>
      <c r="N306" s="239">
        <f t="shared" si="26"/>
        <v>8153779.2417520443</v>
      </c>
      <c r="Q306" s="44"/>
      <c r="R306" s="44"/>
      <c r="S306" s="44"/>
      <c r="T306" s="44"/>
      <c r="U306" s="39"/>
      <c r="AE306" s="40"/>
      <c r="AF306" s="7"/>
      <c r="AG306" s="7"/>
      <c r="AH306" s="7"/>
    </row>
    <row r="307" spans="1:34" x14ac:dyDescent="0.35">
      <c r="A307" s="34">
        <v>989</v>
      </c>
      <c r="B307" s="34" t="s">
        <v>349</v>
      </c>
      <c r="C307" s="35">
        <f>Bestämningsfaktor_kommunvis!C297</f>
        <v>14</v>
      </c>
      <c r="D307" s="36">
        <v>-25206</v>
      </c>
      <c r="E307" s="36">
        <v>-128</v>
      </c>
      <c r="F307" s="36">
        <f t="shared" si="23"/>
        <v>25078</v>
      </c>
      <c r="G307" s="36">
        <v>-25625</v>
      </c>
      <c r="H307" s="36">
        <v>-132</v>
      </c>
      <c r="I307" s="36">
        <f t="shared" si="24"/>
        <v>25493</v>
      </c>
      <c r="J307" s="37">
        <f t="shared" si="22"/>
        <v>25285.5</v>
      </c>
      <c r="K307" s="38">
        <f t="shared" si="25"/>
        <v>1.3562399710424222E-3</v>
      </c>
      <c r="L307" s="37">
        <f>'Social- och hälsovårdskostnader'!$K307*$L$14</f>
        <v>26841.882207730072</v>
      </c>
      <c r="M307" s="36">
        <v>-201.35373000000001</v>
      </c>
      <c r="N307" s="239">
        <f t="shared" si="26"/>
        <v>26640528.477730073</v>
      </c>
      <c r="Q307" s="44"/>
      <c r="R307" s="44"/>
      <c r="S307" s="44"/>
      <c r="T307" s="44"/>
      <c r="U307" s="39"/>
      <c r="AE307" s="40"/>
      <c r="AF307" s="7"/>
      <c r="AG307" s="7"/>
      <c r="AH307" s="7"/>
    </row>
    <row r="308" spans="1:34" x14ac:dyDescent="0.35">
      <c r="A308" s="50">
        <v>992</v>
      </c>
      <c r="B308" s="50" t="s">
        <v>350</v>
      </c>
      <c r="C308" s="51">
        <f>Bestämningsfaktor_kommunvis!C298</f>
        <v>13</v>
      </c>
      <c r="D308" s="52">
        <v>-66663</v>
      </c>
      <c r="E308" s="52">
        <v>-280</v>
      </c>
      <c r="F308" s="52">
        <f t="shared" si="23"/>
        <v>66383</v>
      </c>
      <c r="G308" s="52">
        <v>-68538</v>
      </c>
      <c r="H308" s="52">
        <v>-286</v>
      </c>
      <c r="I308" s="52">
        <f t="shared" si="24"/>
        <v>68252</v>
      </c>
      <c r="J308" s="53">
        <f t="shared" si="22"/>
        <v>67317.5</v>
      </c>
      <c r="K308" s="54">
        <f t="shared" si="25"/>
        <v>3.6107130272546814E-3</v>
      </c>
      <c r="L308" s="37">
        <f>'Social- och hälsovårdskostnader'!$K308*$L$14</f>
        <v>71461.051018127735</v>
      </c>
      <c r="M308" s="52">
        <v>-1330.2279699999999</v>
      </c>
      <c r="N308" s="240">
        <f t="shared" si="26"/>
        <v>70130823.048127726</v>
      </c>
      <c r="Q308" s="44"/>
      <c r="R308" s="44"/>
      <c r="S308" s="44"/>
      <c r="T308" s="44"/>
      <c r="U308" s="39"/>
      <c r="AF308" s="7"/>
      <c r="AG308" s="7"/>
      <c r="AH308" s="7"/>
    </row>
    <row r="309" spans="1:34" x14ac:dyDescent="0.35">
      <c r="AF309" s="7"/>
      <c r="AG309" s="7"/>
      <c r="AH309" s="7"/>
    </row>
    <row r="310" spans="1:34" x14ac:dyDescent="0.35">
      <c r="AF310" s="7"/>
      <c r="AG310" s="7"/>
      <c r="AH310" s="7"/>
    </row>
    <row r="311" spans="1:34" x14ac:dyDescent="0.35">
      <c r="AF311" s="7"/>
      <c r="AG311" s="7"/>
      <c r="AH311" s="7"/>
    </row>
    <row r="312" spans="1:34" x14ac:dyDescent="0.35">
      <c r="AF312" s="7"/>
      <c r="AG312" s="7"/>
      <c r="AH312" s="7"/>
    </row>
    <row r="313" spans="1:34" x14ac:dyDescent="0.35">
      <c r="AF313" s="7"/>
      <c r="AG313" s="7"/>
      <c r="AH313" s="7"/>
    </row>
    <row r="314" spans="1:34" x14ac:dyDescent="0.35">
      <c r="AF314" s="7"/>
      <c r="AG314" s="7"/>
      <c r="AH314" s="7"/>
    </row>
    <row r="315" spans="1:34" x14ac:dyDescent="0.35">
      <c r="AF315" s="7"/>
      <c r="AG315" s="7"/>
      <c r="AH315" s="7"/>
    </row>
    <row r="316" spans="1:34" x14ac:dyDescent="0.35">
      <c r="AF316" s="7"/>
      <c r="AG316" s="7"/>
      <c r="AH316" s="7"/>
    </row>
    <row r="317" spans="1:34" x14ac:dyDescent="0.35">
      <c r="AF317" s="7"/>
      <c r="AG317" s="7"/>
      <c r="AH317" s="7"/>
    </row>
    <row r="318" spans="1:34" x14ac:dyDescent="0.35">
      <c r="AF318" s="7"/>
      <c r="AG318" s="7"/>
      <c r="AH318" s="7"/>
    </row>
    <row r="319" spans="1:34" x14ac:dyDescent="0.35">
      <c r="AF319" s="7"/>
      <c r="AG319" s="7"/>
      <c r="AH319" s="7"/>
    </row>
    <row r="320" spans="1:34" x14ac:dyDescent="0.35">
      <c r="AF320" s="7"/>
      <c r="AG320" s="7"/>
      <c r="AH320" s="7"/>
    </row>
    <row r="321" spans="32:34" x14ac:dyDescent="0.35">
      <c r="AF321" s="7"/>
      <c r="AG321" s="7"/>
      <c r="AH321" s="7"/>
    </row>
    <row r="322" spans="32:34" x14ac:dyDescent="0.35">
      <c r="AF322" s="7"/>
      <c r="AG322" s="7"/>
      <c r="AH322" s="7"/>
    </row>
    <row r="323" spans="32:34" x14ac:dyDescent="0.35">
      <c r="AF323" s="7"/>
      <c r="AG323" s="7"/>
      <c r="AH323" s="7"/>
    </row>
    <row r="324" spans="32:34" x14ac:dyDescent="0.35">
      <c r="AF324" s="7"/>
      <c r="AG324" s="7"/>
      <c r="AH324" s="7"/>
    </row>
    <row r="325" spans="32:34" x14ac:dyDescent="0.35">
      <c r="AF325" s="7"/>
      <c r="AG325" s="7"/>
      <c r="AH325" s="7"/>
    </row>
    <row r="326" spans="32:34" x14ac:dyDescent="0.35">
      <c r="AF326" s="7"/>
      <c r="AG326" s="7"/>
      <c r="AH326" s="7"/>
    </row>
    <row r="327" spans="32:34" x14ac:dyDescent="0.35">
      <c r="AF327" s="7"/>
      <c r="AG327" s="7"/>
      <c r="AH327" s="7"/>
    </row>
    <row r="328" spans="32:34" x14ac:dyDescent="0.35">
      <c r="AF328" s="7"/>
      <c r="AG328" s="7"/>
      <c r="AH328" s="7"/>
    </row>
    <row r="329" spans="32:34" x14ac:dyDescent="0.35">
      <c r="AF329" s="7"/>
      <c r="AG329" s="7"/>
      <c r="AH329" s="7"/>
    </row>
    <row r="330" spans="32:34" x14ac:dyDescent="0.35">
      <c r="AF330" s="7"/>
      <c r="AG330" s="7"/>
      <c r="AH330" s="7"/>
    </row>
    <row r="331" spans="32:34" x14ac:dyDescent="0.35">
      <c r="AF331" s="7"/>
      <c r="AG331" s="7"/>
      <c r="AH331" s="7"/>
    </row>
    <row r="332" spans="32:34" x14ac:dyDescent="0.35">
      <c r="AF332" s="7"/>
      <c r="AG332" s="7"/>
      <c r="AH332" s="7"/>
    </row>
    <row r="333" spans="32:34" x14ac:dyDescent="0.35">
      <c r="AF333" s="7"/>
      <c r="AG333" s="7"/>
      <c r="AH333" s="7"/>
    </row>
    <row r="334" spans="32:34" x14ac:dyDescent="0.35">
      <c r="AF334" s="7"/>
      <c r="AG334" s="7"/>
      <c r="AH334" s="7"/>
    </row>
    <row r="335" spans="32:34" x14ac:dyDescent="0.35">
      <c r="AF335" s="7"/>
      <c r="AG335" s="7"/>
      <c r="AH335" s="7"/>
    </row>
    <row r="336" spans="32:34" x14ac:dyDescent="0.35">
      <c r="AF336" s="7"/>
      <c r="AG336" s="7"/>
      <c r="AH336" s="7"/>
    </row>
    <row r="337" spans="32:37" x14ac:dyDescent="0.35">
      <c r="AF337" s="7"/>
      <c r="AG337" s="7"/>
      <c r="AH337" s="7"/>
    </row>
    <row r="338" spans="32:37" x14ac:dyDescent="0.35">
      <c r="AF338" s="7"/>
      <c r="AG338" s="7"/>
      <c r="AH338" s="7"/>
    </row>
    <row r="339" spans="32:37" x14ac:dyDescent="0.35">
      <c r="AF339" s="7"/>
      <c r="AG339" s="7"/>
      <c r="AH339" s="7"/>
    </row>
    <row r="340" spans="32:37" x14ac:dyDescent="0.35">
      <c r="AF340" s="7"/>
      <c r="AG340" s="7"/>
      <c r="AH340" s="7"/>
    </row>
    <row r="341" spans="32:37" x14ac:dyDescent="0.35">
      <c r="AF341" s="7"/>
      <c r="AG341" s="7"/>
      <c r="AH341" s="7"/>
    </row>
    <row r="342" spans="32:37" x14ac:dyDescent="0.35">
      <c r="AF342" s="7"/>
      <c r="AG342" s="7"/>
      <c r="AH342" s="7"/>
    </row>
    <row r="343" spans="32:37" x14ac:dyDescent="0.35">
      <c r="AF343" s="7"/>
      <c r="AG343" s="7"/>
      <c r="AH343" s="7"/>
    </row>
    <row r="344" spans="32:37" x14ac:dyDescent="0.35">
      <c r="AF344" s="7"/>
      <c r="AG344" s="7"/>
      <c r="AH344" s="7"/>
    </row>
    <row r="345" spans="32:37" x14ac:dyDescent="0.35">
      <c r="AG345" s="9"/>
      <c r="AH345" s="9"/>
      <c r="AI345" s="9"/>
      <c r="AJ345" s="9"/>
      <c r="AK345" s="9"/>
    </row>
  </sheetData>
  <mergeCells count="1">
    <mergeCell ref="R7:T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306"/>
  <sheetViews>
    <sheetView zoomScale="70" zoomScaleNormal="70" workbookViewId="0"/>
  </sheetViews>
  <sheetFormatPr defaultColWidth="8.4140625" defaultRowHeight="15.5" x14ac:dyDescent="0.35"/>
  <cols>
    <col min="1" max="1" width="18.9140625" style="3" customWidth="1"/>
    <col min="2" max="2" width="14.58203125" style="3" customWidth="1"/>
    <col min="3" max="3" width="31.08203125" style="3" customWidth="1"/>
    <col min="4" max="4" width="26.83203125" style="3" customWidth="1"/>
    <col min="5" max="5" width="28.5" style="3" customWidth="1"/>
    <col min="6" max="6" width="32.5" style="3" customWidth="1"/>
    <col min="7" max="7" width="45.1640625" style="64" customWidth="1"/>
    <col min="8" max="8" width="41.33203125" style="65" customWidth="1"/>
    <col min="9" max="9" width="8.4140625" style="3"/>
    <col min="10" max="10" width="21.6640625" style="9" customWidth="1"/>
    <col min="11" max="11" width="17.1640625" style="3" customWidth="1"/>
    <col min="12" max="12" width="32.33203125" style="3" customWidth="1"/>
    <col min="13" max="14" width="8.4140625" style="3"/>
    <col min="15" max="15" width="14.6640625" style="3" customWidth="1"/>
    <col min="16" max="16" width="18.33203125" style="3" bestFit="1" customWidth="1"/>
    <col min="17" max="17" width="10.1640625" style="3" bestFit="1" customWidth="1"/>
    <col min="18" max="18" width="8.4140625" style="3"/>
    <col min="19" max="19" width="8.6640625" style="3" bestFit="1" customWidth="1"/>
    <col min="20" max="16384" width="8.4140625" style="3"/>
  </cols>
  <sheetData>
    <row r="1" spans="1:30" ht="18" x14ac:dyDescent="0.4">
      <c r="A1" s="256" t="s">
        <v>351</v>
      </c>
      <c r="B1" s="4"/>
      <c r="C1" s="4"/>
      <c r="G1" s="3"/>
      <c r="H1" s="3"/>
      <c r="J1" s="3"/>
      <c r="N1" s="5"/>
      <c r="P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35">
      <c r="A2" s="4" t="str">
        <f>Info!A2</f>
        <v>Finansministeriet/Kommun- och regionförvaltningsavdelningen 8.12.2020</v>
      </c>
      <c r="B2" s="4"/>
      <c r="C2" s="4"/>
      <c r="G2" s="3"/>
      <c r="H2" s="3"/>
      <c r="J2" s="3"/>
      <c r="N2" s="5"/>
      <c r="P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6" t="s">
        <v>352</v>
      </c>
      <c r="B3" s="4"/>
      <c r="C3" s="4"/>
      <c r="G3" s="3"/>
      <c r="H3" s="3"/>
      <c r="J3" s="3"/>
      <c r="N3" s="5"/>
      <c r="P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35">
      <c r="A4" s="3" t="s">
        <v>353</v>
      </c>
      <c r="C4" s="7"/>
      <c r="G4" s="3"/>
      <c r="H4" s="3"/>
      <c r="J4" s="3"/>
      <c r="N4" s="5"/>
      <c r="P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3" t="s">
        <v>13</v>
      </c>
      <c r="E5" s="8"/>
      <c r="G5" s="3"/>
      <c r="H5" s="3"/>
      <c r="J5" s="3"/>
      <c r="M5" s="8"/>
      <c r="N5" s="5"/>
      <c r="P5" s="5"/>
      <c r="R5" s="9"/>
      <c r="S5" s="10"/>
      <c r="T5" s="9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4" t="s">
        <v>14</v>
      </c>
      <c r="B6" s="11"/>
      <c r="C6" s="11"/>
      <c r="D6" s="12"/>
      <c r="E6" s="12"/>
      <c r="F6" s="12"/>
      <c r="G6" s="12"/>
      <c r="H6" s="12"/>
      <c r="I6" s="12"/>
      <c r="J6" s="13"/>
      <c r="K6" s="13"/>
      <c r="L6" s="13"/>
      <c r="M6" s="14"/>
      <c r="N6" s="5"/>
      <c r="P6" s="5"/>
      <c r="R6" s="495"/>
      <c r="S6" s="495"/>
      <c r="T6" s="49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4" t="s">
        <v>354</v>
      </c>
      <c r="B7" s="11"/>
      <c r="C7" s="11"/>
      <c r="D7" s="12"/>
      <c r="E7" s="12"/>
      <c r="F7" s="12"/>
      <c r="G7" s="12"/>
      <c r="H7" s="12"/>
      <c r="I7" s="12"/>
      <c r="J7" s="13"/>
      <c r="K7" s="13"/>
      <c r="L7" s="13"/>
      <c r="M7" s="14"/>
      <c r="N7" s="5"/>
      <c r="P7" s="5"/>
      <c r="R7" s="15"/>
      <c r="S7" s="15"/>
      <c r="T7" s="1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35">
      <c r="A8" s="16" t="s">
        <v>355</v>
      </c>
      <c r="B8" s="11"/>
      <c r="C8" s="11"/>
      <c r="D8" s="12"/>
      <c r="E8" s="12"/>
      <c r="F8" s="12"/>
      <c r="G8" s="12"/>
      <c r="H8" s="12"/>
      <c r="I8" s="12"/>
      <c r="J8" s="13"/>
      <c r="K8" s="13"/>
      <c r="L8" s="13"/>
      <c r="M8" s="14"/>
      <c r="N8" s="5"/>
      <c r="P8" s="5"/>
      <c r="R8" s="15"/>
      <c r="S8" s="15"/>
      <c r="T8" s="15"/>
      <c r="V8" s="5"/>
      <c r="W8" s="5"/>
      <c r="X8" s="5"/>
      <c r="Y8" s="5"/>
      <c r="Z8" s="5"/>
      <c r="AA8" s="5"/>
      <c r="AB8" s="5"/>
      <c r="AC8" s="5"/>
      <c r="AD8" s="5"/>
    </row>
    <row r="9" spans="1:30" ht="12.65" customHeight="1" x14ac:dyDescent="0.35">
      <c r="D9" s="496"/>
      <c r="E9" s="496"/>
      <c r="F9" s="496"/>
      <c r="G9" s="496"/>
      <c r="H9" s="496"/>
    </row>
    <row r="10" spans="1:30" x14ac:dyDescent="0.35">
      <c r="A10" s="17" t="s">
        <v>356</v>
      </c>
      <c r="B10" s="17"/>
      <c r="C10" s="55"/>
      <c r="D10" s="55"/>
      <c r="E10" s="55"/>
      <c r="F10" s="55"/>
      <c r="G10" s="56"/>
      <c r="H10" s="57"/>
      <c r="J10" s="58" t="s">
        <v>357</v>
      </c>
      <c r="K10" s="58"/>
      <c r="L10" s="58"/>
      <c r="S10" s="40"/>
      <c r="T10" s="40"/>
    </row>
    <row r="11" spans="1:30" ht="31" x14ac:dyDescent="0.35">
      <c r="A11" s="232" t="s">
        <v>358</v>
      </c>
      <c r="B11" s="232" t="s">
        <v>21</v>
      </c>
      <c r="C11" s="233" t="s">
        <v>22</v>
      </c>
      <c r="D11" s="234" t="s">
        <v>359</v>
      </c>
      <c r="E11" s="234" t="s">
        <v>360</v>
      </c>
      <c r="F11" s="234" t="s">
        <v>361</v>
      </c>
      <c r="G11" s="235" t="s">
        <v>362</v>
      </c>
      <c r="H11" s="236" t="s">
        <v>363</v>
      </c>
      <c r="I11" s="59"/>
      <c r="J11" s="237" t="s">
        <v>22</v>
      </c>
      <c r="K11" s="237" t="s">
        <v>34</v>
      </c>
      <c r="L11" s="238" t="s">
        <v>364</v>
      </c>
    </row>
    <row r="12" spans="1:30" x14ac:dyDescent="0.35">
      <c r="A12" s="29"/>
      <c r="B12" s="28" t="s">
        <v>35</v>
      </c>
      <c r="C12" s="28"/>
      <c r="D12" s="31">
        <f>SUM(D13:D306)</f>
        <v>-421124</v>
      </c>
      <c r="E12" s="31">
        <f>SUM(E13:E306)</f>
        <v>-442141</v>
      </c>
      <c r="F12" s="31">
        <f>SUM(F13:F306)</f>
        <v>431632.5</v>
      </c>
      <c r="G12" s="32">
        <f t="shared" ref="G12:G75" si="0">F12/$F$12</f>
        <v>1</v>
      </c>
      <c r="H12" s="31">
        <f>-(E12*1.036)*1000</f>
        <v>458058076</v>
      </c>
      <c r="I12" s="16"/>
      <c r="J12" s="29"/>
      <c r="K12" s="60" t="s">
        <v>35</v>
      </c>
      <c r="L12" s="31">
        <f>SUM(L13:L34)</f>
        <v>458058076.00000006</v>
      </c>
    </row>
    <row r="13" spans="1:30" x14ac:dyDescent="0.35">
      <c r="A13" s="34">
        <v>5</v>
      </c>
      <c r="B13" s="34" t="s">
        <v>36</v>
      </c>
      <c r="C13" s="35">
        <f>Bestämningsfaktor_kommunvis!C5</f>
        <v>14</v>
      </c>
      <c r="D13" s="61">
        <v>-906</v>
      </c>
      <c r="E13" s="61">
        <v>-931</v>
      </c>
      <c r="F13" s="61">
        <f>-AVERAGE(D13:E13)</f>
        <v>918.5</v>
      </c>
      <c r="G13" s="38">
        <f t="shared" si="0"/>
        <v>2.1279676576717462E-3</v>
      </c>
      <c r="H13" s="113">
        <f t="shared" ref="H13:H76" si="1">(G13*$H$12)</f>
        <v>974732.77106334665</v>
      </c>
      <c r="J13" s="37">
        <v>31</v>
      </c>
      <c r="K13" s="35" t="s">
        <v>37</v>
      </c>
      <c r="L13" s="37">
        <f t="shared" ref="L13:L34" si="2">SUMIF(C$13:C$306,J13,H$13:H$306)</f>
        <v>41065592.461026452</v>
      </c>
      <c r="S13" s="40"/>
      <c r="T13" s="40"/>
    </row>
    <row r="14" spans="1:30" x14ac:dyDescent="0.35">
      <c r="A14" s="34">
        <v>9</v>
      </c>
      <c r="B14" s="34" t="s">
        <v>38</v>
      </c>
      <c r="C14" s="35">
        <f>Bestämningsfaktor_kommunvis!C6</f>
        <v>17</v>
      </c>
      <c r="D14" s="61">
        <v>-273</v>
      </c>
      <c r="E14" s="61">
        <v>-285</v>
      </c>
      <c r="F14" s="61">
        <f t="shared" ref="F14:F77" si="3">-AVERAGE(D14:E14)</f>
        <v>279</v>
      </c>
      <c r="G14" s="38">
        <f t="shared" si="0"/>
        <v>6.4638320793730783E-4</v>
      </c>
      <c r="H14" s="113">
        <f t="shared" si="1"/>
        <v>296081.04858647118</v>
      </c>
      <c r="J14" s="37">
        <v>32</v>
      </c>
      <c r="K14" s="35" t="s">
        <v>39</v>
      </c>
      <c r="L14" s="37">
        <f t="shared" si="2"/>
        <v>13309851.295238428</v>
      </c>
      <c r="S14" s="40"/>
      <c r="T14" s="40"/>
    </row>
    <row r="15" spans="1:30" x14ac:dyDescent="0.35">
      <c r="A15" s="34">
        <v>10</v>
      </c>
      <c r="B15" s="34" t="s">
        <v>40</v>
      </c>
      <c r="C15" s="35">
        <f>Bestämningsfaktor_kommunvis!C7</f>
        <v>14</v>
      </c>
      <c r="D15" s="61">
        <v>-1080</v>
      </c>
      <c r="E15" s="61">
        <v>-1114</v>
      </c>
      <c r="F15" s="61">
        <f t="shared" si="3"/>
        <v>1097</v>
      </c>
      <c r="G15" s="38">
        <f t="shared" si="0"/>
        <v>2.5415139036101312E-3</v>
      </c>
      <c r="H15" s="113">
        <f t="shared" si="1"/>
        <v>1164160.9688149062</v>
      </c>
      <c r="J15" s="37">
        <v>33</v>
      </c>
      <c r="K15" s="35" t="s">
        <v>41</v>
      </c>
      <c r="L15" s="37">
        <f t="shared" si="2"/>
        <v>35029359.47048936</v>
      </c>
      <c r="S15" s="40"/>
      <c r="T15" s="40"/>
    </row>
    <row r="16" spans="1:30" x14ac:dyDescent="0.35">
      <c r="A16" s="34">
        <v>16</v>
      </c>
      <c r="B16" s="34" t="s">
        <v>42</v>
      </c>
      <c r="C16" s="35">
        <f>Bestämningsfaktor_kommunvis!C8</f>
        <v>7</v>
      </c>
      <c r="D16" s="61">
        <v>-785</v>
      </c>
      <c r="E16" s="61">
        <v>-780</v>
      </c>
      <c r="F16" s="61">
        <f t="shared" si="3"/>
        <v>782.5</v>
      </c>
      <c r="G16" s="38">
        <f t="shared" si="0"/>
        <v>1.8128848036234528E-3</v>
      </c>
      <c r="H16" s="113">
        <f t="shared" si="1"/>
        <v>830406.52515739657</v>
      </c>
      <c r="J16" s="37">
        <v>34</v>
      </c>
      <c r="K16" s="35" t="s">
        <v>43</v>
      </c>
      <c r="L16" s="37">
        <f t="shared" si="2"/>
        <v>10469489.551361401</v>
      </c>
      <c r="S16" s="40"/>
      <c r="T16" s="40"/>
    </row>
    <row r="17" spans="1:20" x14ac:dyDescent="0.35">
      <c r="A17" s="34">
        <v>18</v>
      </c>
      <c r="B17" s="34" t="s">
        <v>44</v>
      </c>
      <c r="C17" s="35">
        <f>Bestämningsfaktor_kommunvis!C9</f>
        <v>34</v>
      </c>
      <c r="D17" s="61">
        <v>-364</v>
      </c>
      <c r="E17" s="61">
        <v>-359</v>
      </c>
      <c r="F17" s="61">
        <f t="shared" si="3"/>
        <v>361.5</v>
      </c>
      <c r="G17" s="38">
        <f t="shared" si="0"/>
        <v>8.3751802748866227E-4</v>
      </c>
      <c r="H17" s="113">
        <f t="shared" si="1"/>
        <v>383631.89628677175</v>
      </c>
      <c r="J17" s="37">
        <v>35</v>
      </c>
      <c r="K17" s="35" t="s">
        <v>45</v>
      </c>
      <c r="L17" s="37">
        <f t="shared" si="2"/>
        <v>15532050.993231511</v>
      </c>
      <c r="S17" s="40"/>
      <c r="T17" s="40"/>
    </row>
    <row r="18" spans="1:20" x14ac:dyDescent="0.35">
      <c r="A18" s="34">
        <v>19</v>
      </c>
      <c r="B18" s="34" t="s">
        <v>46</v>
      </c>
      <c r="C18" s="35">
        <f>Bestämningsfaktor_kommunvis!C10</f>
        <v>2</v>
      </c>
      <c r="D18" s="61">
        <v>-306</v>
      </c>
      <c r="E18" s="61">
        <v>-312</v>
      </c>
      <c r="F18" s="61">
        <f t="shared" si="3"/>
        <v>309</v>
      </c>
      <c r="G18" s="38">
        <f t="shared" si="0"/>
        <v>7.1588677868325481E-4</v>
      </c>
      <c r="H18" s="113">
        <f t="shared" si="1"/>
        <v>327917.72047748952</v>
      </c>
      <c r="J18" s="42">
        <v>2</v>
      </c>
      <c r="K18" s="42" t="s">
        <v>47</v>
      </c>
      <c r="L18" s="37">
        <f t="shared" si="2"/>
        <v>37858578.379204527</v>
      </c>
      <c r="S18" s="40"/>
      <c r="T18" s="40"/>
    </row>
    <row r="19" spans="1:20" x14ac:dyDescent="0.35">
      <c r="A19" s="34">
        <v>20</v>
      </c>
      <c r="B19" s="34" t="s">
        <v>48</v>
      </c>
      <c r="C19" s="35">
        <f>Bestämningsfaktor_kommunvis!C11</f>
        <v>6</v>
      </c>
      <c r="D19" s="61">
        <v>-1197</v>
      </c>
      <c r="E19" s="61">
        <v>-1228</v>
      </c>
      <c r="F19" s="61">
        <f t="shared" si="3"/>
        <v>1212.5</v>
      </c>
      <c r="G19" s="38">
        <f t="shared" si="0"/>
        <v>2.8091026509820274E-3</v>
      </c>
      <c r="H19" s="113">
        <f t="shared" si="1"/>
        <v>1286732.155595327</v>
      </c>
      <c r="J19" s="42">
        <v>4</v>
      </c>
      <c r="K19" s="42" t="s">
        <v>49</v>
      </c>
      <c r="L19" s="37">
        <f t="shared" si="2"/>
        <v>22375343.616205916</v>
      </c>
      <c r="S19" s="40"/>
      <c r="T19" s="40"/>
    </row>
    <row r="20" spans="1:20" x14ac:dyDescent="0.35">
      <c r="A20" s="34">
        <v>46</v>
      </c>
      <c r="B20" s="34" t="s">
        <v>50</v>
      </c>
      <c r="C20" s="35">
        <f>Bestämningsfaktor_kommunvis!C12</f>
        <v>10</v>
      </c>
      <c r="D20" s="61">
        <v>-134</v>
      </c>
      <c r="E20" s="61">
        <v>-122</v>
      </c>
      <c r="F20" s="61">
        <f t="shared" si="3"/>
        <v>128</v>
      </c>
      <c r="G20" s="38">
        <f t="shared" si="0"/>
        <v>2.9654856851604082E-4</v>
      </c>
      <c r="H20" s="113">
        <f t="shared" si="1"/>
        <v>135836.46673501184</v>
      </c>
      <c r="J20" s="42">
        <v>5</v>
      </c>
      <c r="K20" s="42" t="s">
        <v>51</v>
      </c>
      <c r="L20" s="37">
        <f t="shared" si="2"/>
        <v>13036055.916975668</v>
      </c>
      <c r="S20" s="40"/>
      <c r="T20" s="40"/>
    </row>
    <row r="21" spans="1:20" x14ac:dyDescent="0.35">
      <c r="A21" s="34">
        <v>47</v>
      </c>
      <c r="B21" s="34" t="s">
        <v>52</v>
      </c>
      <c r="C21" s="35">
        <f>Bestämningsfaktor_kommunvis!C13</f>
        <v>19</v>
      </c>
      <c r="D21" s="61">
        <v>-300</v>
      </c>
      <c r="E21" s="61">
        <v>-308</v>
      </c>
      <c r="F21" s="61">
        <f t="shared" si="3"/>
        <v>304</v>
      </c>
      <c r="G21" s="38">
        <f t="shared" si="0"/>
        <v>7.0430285022559703E-4</v>
      </c>
      <c r="H21" s="113">
        <f t="shared" si="1"/>
        <v>322611.60849565314</v>
      </c>
      <c r="J21" s="42">
        <v>6</v>
      </c>
      <c r="K21" s="42" t="s">
        <v>53</v>
      </c>
      <c r="L21" s="37">
        <f t="shared" si="2"/>
        <v>39765595.025476538</v>
      </c>
      <c r="S21" s="40"/>
      <c r="T21" s="40"/>
    </row>
    <row r="22" spans="1:20" x14ac:dyDescent="0.35">
      <c r="A22" s="34">
        <v>49</v>
      </c>
      <c r="B22" s="34" t="s">
        <v>54</v>
      </c>
      <c r="C22" s="35">
        <f>Bestämningsfaktor_kommunvis!C14</f>
        <v>33</v>
      </c>
      <c r="D22" s="61">
        <v>-20378</v>
      </c>
      <c r="E22" s="61">
        <v>-20799</v>
      </c>
      <c r="F22" s="61">
        <f t="shared" si="3"/>
        <v>20588.5</v>
      </c>
      <c r="G22" s="38">
        <f t="shared" si="0"/>
        <v>4.769914221009771E-2</v>
      </c>
      <c r="H22" s="113">
        <f t="shared" si="1"/>
        <v>21848977.307607744</v>
      </c>
      <c r="J22" s="42">
        <v>7</v>
      </c>
      <c r="K22" s="42" t="s">
        <v>55</v>
      </c>
      <c r="L22" s="37">
        <f t="shared" si="2"/>
        <v>21318366.109424103</v>
      </c>
      <c r="S22" s="40"/>
      <c r="T22" s="40"/>
    </row>
    <row r="23" spans="1:20" x14ac:dyDescent="0.35">
      <c r="A23" s="34">
        <v>50</v>
      </c>
      <c r="B23" s="34" t="s">
        <v>56</v>
      </c>
      <c r="C23" s="35">
        <f>Bestämningsfaktor_kommunvis!C15</f>
        <v>4</v>
      </c>
      <c r="D23" s="61">
        <v>-1319</v>
      </c>
      <c r="E23" s="61">
        <v>-1375</v>
      </c>
      <c r="F23" s="61">
        <f t="shared" si="3"/>
        <v>1347</v>
      </c>
      <c r="G23" s="38">
        <f t="shared" si="0"/>
        <v>3.1207103264930237E-3</v>
      </c>
      <c r="H23" s="113">
        <f t="shared" si="1"/>
        <v>1429466.5679067262</v>
      </c>
      <c r="J23" s="42">
        <v>8</v>
      </c>
      <c r="K23" s="42" t="s">
        <v>57</v>
      </c>
      <c r="L23" s="37">
        <f t="shared" si="2"/>
        <v>17565883.715869401</v>
      </c>
      <c r="S23" s="40"/>
      <c r="T23" s="40"/>
    </row>
    <row r="24" spans="1:20" x14ac:dyDescent="0.35">
      <c r="A24" s="34">
        <v>51</v>
      </c>
      <c r="B24" s="34" t="s">
        <v>58</v>
      </c>
      <c r="C24" s="35">
        <f>Bestämningsfaktor_kommunvis!C16</f>
        <v>4</v>
      </c>
      <c r="D24" s="61">
        <v>-821</v>
      </c>
      <c r="E24" s="61">
        <v>-898</v>
      </c>
      <c r="F24" s="61">
        <f t="shared" si="3"/>
        <v>859.5</v>
      </c>
      <c r="G24" s="38">
        <f t="shared" si="0"/>
        <v>1.9912773018713839E-3</v>
      </c>
      <c r="H24" s="113">
        <f t="shared" si="1"/>
        <v>912120.64967767731</v>
      </c>
      <c r="J24" s="42">
        <v>9</v>
      </c>
      <c r="K24" s="42" t="s">
        <v>59</v>
      </c>
      <c r="L24" s="37">
        <f t="shared" si="2"/>
        <v>14121686.428459397</v>
      </c>
      <c r="S24" s="40"/>
      <c r="T24" s="40"/>
    </row>
    <row r="25" spans="1:20" x14ac:dyDescent="0.35">
      <c r="A25" s="34">
        <v>52</v>
      </c>
      <c r="B25" s="34" t="s">
        <v>60</v>
      </c>
      <c r="C25" s="35">
        <f>Bestämningsfaktor_kommunvis!C17</f>
        <v>14</v>
      </c>
      <c r="D25" s="61">
        <v>-193</v>
      </c>
      <c r="E25" s="61">
        <v>-210</v>
      </c>
      <c r="F25" s="61">
        <f t="shared" si="3"/>
        <v>201.5</v>
      </c>
      <c r="G25" s="38">
        <f t="shared" si="0"/>
        <v>4.6683231684361117E-4</v>
      </c>
      <c r="H25" s="113">
        <f t="shared" si="1"/>
        <v>213836.31286800693</v>
      </c>
      <c r="J25" s="42">
        <v>10</v>
      </c>
      <c r="K25" s="42" t="s">
        <v>61</v>
      </c>
      <c r="L25" s="37">
        <f t="shared" si="2"/>
        <v>12722464.698849138</v>
      </c>
      <c r="S25" s="40"/>
      <c r="T25" s="40"/>
    </row>
    <row r="26" spans="1:20" x14ac:dyDescent="0.35">
      <c r="A26" s="34">
        <v>61</v>
      </c>
      <c r="B26" s="34" t="s">
        <v>62</v>
      </c>
      <c r="C26" s="35">
        <f>Bestämningsfaktor_kommunvis!C18</f>
        <v>5</v>
      </c>
      <c r="D26" s="61">
        <v>-1459</v>
      </c>
      <c r="E26" s="61">
        <v>-1453</v>
      </c>
      <c r="F26" s="61">
        <f t="shared" si="3"/>
        <v>1456</v>
      </c>
      <c r="G26" s="38">
        <f t="shared" si="0"/>
        <v>3.3732399668699644E-3</v>
      </c>
      <c r="H26" s="113">
        <f t="shared" si="1"/>
        <v>1545139.8091107595</v>
      </c>
      <c r="J26" s="42">
        <v>11</v>
      </c>
      <c r="K26" s="42" t="s">
        <v>63</v>
      </c>
      <c r="L26" s="37">
        <f t="shared" si="2"/>
        <v>20357959.84071172</v>
      </c>
      <c r="S26" s="40"/>
      <c r="T26" s="40"/>
    </row>
    <row r="27" spans="1:20" x14ac:dyDescent="0.35">
      <c r="A27" s="34">
        <v>69</v>
      </c>
      <c r="B27" s="34" t="s">
        <v>64</v>
      </c>
      <c r="C27" s="35">
        <f>Bestämningsfaktor_kommunvis!C19</f>
        <v>17</v>
      </c>
      <c r="D27" s="61">
        <v>-696</v>
      </c>
      <c r="E27" s="61">
        <v>-734</v>
      </c>
      <c r="F27" s="61">
        <f t="shared" si="3"/>
        <v>715</v>
      </c>
      <c r="G27" s="38">
        <f t="shared" si="0"/>
        <v>1.656501769445072E-3</v>
      </c>
      <c r="H27" s="113">
        <f t="shared" si="1"/>
        <v>758774.01340260531</v>
      </c>
      <c r="J27" s="42">
        <v>12</v>
      </c>
      <c r="K27" s="42" t="s">
        <v>65</v>
      </c>
      <c r="L27" s="37">
        <f t="shared" si="2"/>
        <v>14860827.827529205</v>
      </c>
      <c r="S27" s="40"/>
      <c r="T27" s="40"/>
    </row>
    <row r="28" spans="1:20" x14ac:dyDescent="0.35">
      <c r="A28" s="34">
        <v>71</v>
      </c>
      <c r="B28" s="34" t="s">
        <v>66</v>
      </c>
      <c r="C28" s="35">
        <f>Bestämningsfaktor_kommunvis!C20</f>
        <v>17</v>
      </c>
      <c r="D28" s="61">
        <v>-715</v>
      </c>
      <c r="E28" s="61">
        <v>-759</v>
      </c>
      <c r="F28" s="61">
        <f t="shared" si="3"/>
        <v>737</v>
      </c>
      <c r="G28" s="38">
        <f t="shared" si="0"/>
        <v>1.7074710546587663E-3</v>
      </c>
      <c r="H28" s="113">
        <f t="shared" si="1"/>
        <v>782120.90612268529</v>
      </c>
      <c r="J28" s="42">
        <v>13</v>
      </c>
      <c r="K28" s="42" t="s">
        <v>67</v>
      </c>
      <c r="L28" s="37">
        <f t="shared" si="2"/>
        <v>26716273.828546263</v>
      </c>
      <c r="S28" s="40"/>
      <c r="T28" s="40"/>
    </row>
    <row r="29" spans="1:20" x14ac:dyDescent="0.35">
      <c r="A29" s="34">
        <v>72</v>
      </c>
      <c r="B29" s="34" t="s">
        <v>68</v>
      </c>
      <c r="C29" s="35">
        <f>Bestämningsfaktor_kommunvis!C21</f>
        <v>17</v>
      </c>
      <c r="D29" s="61">
        <v>-58</v>
      </c>
      <c r="E29" s="61">
        <v>-60</v>
      </c>
      <c r="F29" s="61">
        <f t="shared" si="3"/>
        <v>59</v>
      </c>
      <c r="G29" s="38">
        <f t="shared" si="0"/>
        <v>1.3669035580036258E-4</v>
      </c>
      <c r="H29" s="113">
        <f t="shared" si="1"/>
        <v>62612.121385669525</v>
      </c>
      <c r="J29" s="42">
        <v>14</v>
      </c>
      <c r="K29" s="42" t="s">
        <v>69</v>
      </c>
      <c r="L29" s="37">
        <f t="shared" si="2"/>
        <v>19370492.400891967</v>
      </c>
      <c r="S29" s="40"/>
      <c r="T29" s="40"/>
    </row>
    <row r="30" spans="1:20" x14ac:dyDescent="0.35">
      <c r="A30" s="34">
        <v>74</v>
      </c>
      <c r="B30" s="34" t="s">
        <v>70</v>
      </c>
      <c r="C30" s="35">
        <f>Bestämningsfaktor_kommunvis!C22</f>
        <v>16</v>
      </c>
      <c r="D30" s="61">
        <v>-131</v>
      </c>
      <c r="E30" s="61">
        <v>-165</v>
      </c>
      <c r="F30" s="61">
        <f t="shared" si="3"/>
        <v>148</v>
      </c>
      <c r="G30" s="38">
        <f t="shared" si="0"/>
        <v>3.4288428234667225E-4</v>
      </c>
      <c r="H30" s="113">
        <f t="shared" si="1"/>
        <v>157060.91466235745</v>
      </c>
      <c r="J30" s="42">
        <v>15</v>
      </c>
      <c r="K30" s="42" t="s">
        <v>71</v>
      </c>
      <c r="L30" s="37">
        <f t="shared" si="2"/>
        <v>15284786.174877934</v>
      </c>
      <c r="S30" s="40"/>
      <c r="T30" s="40"/>
    </row>
    <row r="31" spans="1:20" x14ac:dyDescent="0.35">
      <c r="A31" s="34">
        <v>75</v>
      </c>
      <c r="B31" s="34" t="s">
        <v>72</v>
      </c>
      <c r="C31" s="35">
        <f>Bestämningsfaktor_kommunvis!C23</f>
        <v>8</v>
      </c>
      <c r="D31" s="61">
        <v>-2645</v>
      </c>
      <c r="E31" s="61">
        <v>-2716</v>
      </c>
      <c r="F31" s="61">
        <f t="shared" si="3"/>
        <v>2680.5</v>
      </c>
      <c r="G31" s="38">
        <f t="shared" si="0"/>
        <v>6.2101440461503708E-3</v>
      </c>
      <c r="H31" s="113">
        <f t="shared" si="1"/>
        <v>2844606.6334624942</v>
      </c>
      <c r="J31" s="42">
        <v>16</v>
      </c>
      <c r="K31" s="42" t="s">
        <v>73</v>
      </c>
      <c r="L31" s="37">
        <f t="shared" si="2"/>
        <v>6499987.1777495909</v>
      </c>
      <c r="S31" s="40"/>
      <c r="T31" s="40"/>
    </row>
    <row r="32" spans="1:20" x14ac:dyDescent="0.35">
      <c r="A32" s="34">
        <v>77</v>
      </c>
      <c r="B32" s="34" t="s">
        <v>74</v>
      </c>
      <c r="C32" s="35">
        <f>Bestämningsfaktor_kommunvis!C24</f>
        <v>13</v>
      </c>
      <c r="D32" s="61">
        <v>-528</v>
      </c>
      <c r="E32" s="61">
        <v>-539</v>
      </c>
      <c r="F32" s="61">
        <f t="shared" si="3"/>
        <v>533.5</v>
      </c>
      <c r="G32" s="38">
        <f t="shared" si="0"/>
        <v>1.2360051664320922E-3</v>
      </c>
      <c r="H32" s="113">
        <f t="shared" si="1"/>
        <v>566162.14846194396</v>
      </c>
      <c r="J32" s="42">
        <v>17</v>
      </c>
      <c r="K32" s="42" t="s">
        <v>75</v>
      </c>
      <c r="L32" s="37">
        <f t="shared" si="2"/>
        <v>34970461.627490975</v>
      </c>
      <c r="S32" s="40"/>
      <c r="T32" s="40"/>
    </row>
    <row r="33" spans="1:20" x14ac:dyDescent="0.35">
      <c r="A33" s="34">
        <v>78</v>
      </c>
      <c r="B33" s="34" t="s">
        <v>76</v>
      </c>
      <c r="C33" s="35">
        <f>Bestämningsfaktor_kommunvis!C25</f>
        <v>33</v>
      </c>
      <c r="D33" s="61">
        <v>-623</v>
      </c>
      <c r="E33" s="61">
        <v>-631</v>
      </c>
      <c r="F33" s="61">
        <f t="shared" si="3"/>
        <v>627</v>
      </c>
      <c r="G33" s="38">
        <f t="shared" si="0"/>
        <v>1.4526246285902938E-3</v>
      </c>
      <c r="H33" s="113">
        <f t="shared" si="1"/>
        <v>665386.44252228457</v>
      </c>
      <c r="J33" s="42">
        <v>18</v>
      </c>
      <c r="K33" s="42" t="s">
        <v>77</v>
      </c>
      <c r="L33" s="37">
        <f t="shared" si="2"/>
        <v>7400434.3810672276</v>
      </c>
      <c r="S33" s="40"/>
      <c r="T33" s="40"/>
    </row>
    <row r="34" spans="1:20" x14ac:dyDescent="0.35">
      <c r="A34" s="34">
        <v>79</v>
      </c>
      <c r="B34" s="34" t="s">
        <v>78</v>
      </c>
      <c r="C34" s="35">
        <f>Bestämningsfaktor_kommunvis!C26</f>
        <v>4</v>
      </c>
      <c r="D34" s="61">
        <v>-714</v>
      </c>
      <c r="E34" s="61">
        <v>-759</v>
      </c>
      <c r="F34" s="61">
        <f t="shared" si="3"/>
        <v>736.5</v>
      </c>
      <c r="G34" s="38">
        <f t="shared" si="0"/>
        <v>1.7063126618130006E-3</v>
      </c>
      <c r="H34" s="113">
        <f t="shared" si="1"/>
        <v>781590.2949245018</v>
      </c>
      <c r="J34" s="42">
        <v>19</v>
      </c>
      <c r="K34" s="42" t="s">
        <v>79</v>
      </c>
      <c r="L34" s="37">
        <f t="shared" si="2"/>
        <v>18426535.079323269</v>
      </c>
    </row>
    <row r="35" spans="1:20" x14ac:dyDescent="0.35">
      <c r="A35" s="34">
        <v>81</v>
      </c>
      <c r="B35" s="34" t="s">
        <v>80</v>
      </c>
      <c r="C35" s="35">
        <f>Bestämningsfaktor_kommunvis!C27</f>
        <v>7</v>
      </c>
      <c r="D35" s="61">
        <v>-267</v>
      </c>
      <c r="E35" s="61">
        <v>-265</v>
      </c>
      <c r="F35" s="61">
        <f t="shared" si="3"/>
        <v>266</v>
      </c>
      <c r="G35" s="38">
        <f t="shared" si="0"/>
        <v>6.1626499394739742E-4</v>
      </c>
      <c r="H35" s="113">
        <f t="shared" si="1"/>
        <v>282285.1574336965</v>
      </c>
      <c r="J35" s="63"/>
      <c r="L35" s="40"/>
    </row>
    <row r="36" spans="1:20" x14ac:dyDescent="0.35">
      <c r="A36" s="34">
        <v>82</v>
      </c>
      <c r="B36" s="34" t="s">
        <v>81</v>
      </c>
      <c r="C36" s="35">
        <f>Bestämningsfaktor_kommunvis!C28</f>
        <v>5</v>
      </c>
      <c r="D36" s="61">
        <v>-644</v>
      </c>
      <c r="E36" s="61">
        <v>-654</v>
      </c>
      <c r="F36" s="61">
        <f t="shared" si="3"/>
        <v>649</v>
      </c>
      <c r="G36" s="38">
        <f t="shared" si="0"/>
        <v>1.5035939138039883E-3</v>
      </c>
      <c r="H36" s="113">
        <f t="shared" si="1"/>
        <v>688733.33524236479</v>
      </c>
      <c r="J36" s="63"/>
      <c r="L36" s="40"/>
    </row>
    <row r="37" spans="1:20" x14ac:dyDescent="0.35">
      <c r="A37" s="34">
        <v>86</v>
      </c>
      <c r="B37" s="34" t="s">
        <v>82</v>
      </c>
      <c r="C37" s="35">
        <f>Bestämningsfaktor_kommunvis!C29</f>
        <v>5</v>
      </c>
      <c r="D37" s="61">
        <v>-598</v>
      </c>
      <c r="E37" s="61">
        <v>-614</v>
      </c>
      <c r="F37" s="61">
        <f t="shared" si="3"/>
        <v>606</v>
      </c>
      <c r="G37" s="38">
        <f t="shared" si="0"/>
        <v>1.4039721290681308E-3</v>
      </c>
      <c r="H37" s="113">
        <f t="shared" si="1"/>
        <v>643100.77219857171</v>
      </c>
      <c r="J37" s="63"/>
      <c r="L37" s="40"/>
    </row>
    <row r="38" spans="1:20" x14ac:dyDescent="0.35">
      <c r="A38" s="34">
        <v>90</v>
      </c>
      <c r="B38" s="34" t="s">
        <v>83</v>
      </c>
      <c r="C38" s="35">
        <f>Bestämningsfaktor_kommunvis!C30</f>
        <v>12</v>
      </c>
      <c r="D38" s="61">
        <v>-296</v>
      </c>
      <c r="E38" s="61">
        <v>-310</v>
      </c>
      <c r="F38" s="61">
        <f t="shared" si="3"/>
        <v>303</v>
      </c>
      <c r="G38" s="38">
        <f t="shared" si="0"/>
        <v>7.0198606453406541E-4</v>
      </c>
      <c r="H38" s="113">
        <f t="shared" si="1"/>
        <v>321550.38609928585</v>
      </c>
      <c r="J38" s="63"/>
      <c r="L38" s="40"/>
    </row>
    <row r="39" spans="1:20" x14ac:dyDescent="0.35">
      <c r="A39" s="34">
        <v>91</v>
      </c>
      <c r="B39" s="34" t="s">
        <v>37</v>
      </c>
      <c r="C39" s="35">
        <f>Bestämningsfaktor_kommunvis!C31</f>
        <v>31</v>
      </c>
      <c r="D39" s="61">
        <v>-38275</v>
      </c>
      <c r="E39" s="61">
        <v>-39118</v>
      </c>
      <c r="F39" s="61">
        <f t="shared" si="3"/>
        <v>38696.5</v>
      </c>
      <c r="G39" s="38">
        <f t="shared" si="0"/>
        <v>8.9651497512351366E-2</v>
      </c>
      <c r="H39" s="113">
        <f t="shared" si="1"/>
        <v>41065592.461026452</v>
      </c>
      <c r="J39" s="63"/>
      <c r="L39" s="40"/>
    </row>
    <row r="40" spans="1:20" x14ac:dyDescent="0.35">
      <c r="A40" s="34">
        <v>92</v>
      </c>
      <c r="B40" s="34" t="s">
        <v>84</v>
      </c>
      <c r="C40" s="35">
        <f>Bestämningsfaktor_kommunvis!C32</f>
        <v>32</v>
      </c>
      <c r="D40" s="61">
        <v>-9692</v>
      </c>
      <c r="E40" s="61">
        <v>-10127</v>
      </c>
      <c r="F40" s="61">
        <f t="shared" si="3"/>
        <v>9909.5</v>
      </c>
      <c r="G40" s="38">
        <f t="shared" si="0"/>
        <v>2.2958187810232084E-2</v>
      </c>
      <c r="H40" s="113">
        <f t="shared" si="1"/>
        <v>10516183.336801562</v>
      </c>
      <c r="J40" s="63"/>
      <c r="L40" s="40"/>
    </row>
    <row r="41" spans="1:20" x14ac:dyDescent="0.35">
      <c r="A41" s="34">
        <v>97</v>
      </c>
      <c r="B41" s="34" t="s">
        <v>85</v>
      </c>
      <c r="C41" s="35">
        <f>Bestämningsfaktor_kommunvis!C33</f>
        <v>10</v>
      </c>
      <c r="D41" s="61">
        <v>-191</v>
      </c>
      <c r="E41" s="61">
        <v>-190</v>
      </c>
      <c r="F41" s="61">
        <f t="shared" si="3"/>
        <v>190.5</v>
      </c>
      <c r="G41" s="38">
        <f t="shared" si="0"/>
        <v>4.4134767423676389E-4</v>
      </c>
      <c r="H41" s="113">
        <f t="shared" si="1"/>
        <v>202162.86650796683</v>
      </c>
      <c r="J41" s="63"/>
      <c r="L41" s="40"/>
    </row>
    <row r="42" spans="1:20" x14ac:dyDescent="0.35">
      <c r="A42" s="34">
        <v>98</v>
      </c>
      <c r="B42" s="34" t="s">
        <v>86</v>
      </c>
      <c r="C42" s="35">
        <f>Bestämningsfaktor_kommunvis!C34</f>
        <v>7</v>
      </c>
      <c r="D42" s="61">
        <v>-2186</v>
      </c>
      <c r="E42" s="61">
        <v>-2193</v>
      </c>
      <c r="F42" s="61">
        <f t="shared" si="3"/>
        <v>2189.5</v>
      </c>
      <c r="G42" s="38">
        <f t="shared" si="0"/>
        <v>5.0726022716083702E-3</v>
      </c>
      <c r="H42" s="113">
        <f t="shared" si="1"/>
        <v>2323546.4368461594</v>
      </c>
      <c r="J42" s="63"/>
      <c r="L42" s="40"/>
    </row>
    <row r="43" spans="1:20" x14ac:dyDescent="0.35">
      <c r="A43" s="34">
        <v>99</v>
      </c>
      <c r="B43" s="34" t="s">
        <v>87</v>
      </c>
      <c r="C43" s="35">
        <f>Bestämningsfaktor_kommunvis!C35</f>
        <v>4</v>
      </c>
      <c r="D43" s="61">
        <v>-143</v>
      </c>
      <c r="E43" s="61">
        <v>-149</v>
      </c>
      <c r="F43" s="61">
        <f t="shared" si="3"/>
        <v>146</v>
      </c>
      <c r="G43" s="38">
        <f t="shared" si="0"/>
        <v>3.3825071096360907E-4</v>
      </c>
      <c r="H43" s="113">
        <f t="shared" si="1"/>
        <v>154938.46986962287</v>
      </c>
      <c r="J43" s="63"/>
      <c r="L43" s="40"/>
    </row>
    <row r="44" spans="1:20" x14ac:dyDescent="0.35">
      <c r="A44" s="34">
        <v>102</v>
      </c>
      <c r="B44" s="34" t="s">
        <v>88</v>
      </c>
      <c r="C44" s="35">
        <f>Bestämningsfaktor_kommunvis!C36</f>
        <v>4</v>
      </c>
      <c r="D44" s="61">
        <v>-1116</v>
      </c>
      <c r="E44" s="61">
        <v>-1183</v>
      </c>
      <c r="F44" s="61">
        <f t="shared" si="3"/>
        <v>1149.5</v>
      </c>
      <c r="G44" s="38">
        <f t="shared" si="0"/>
        <v>2.6631451524155385E-3</v>
      </c>
      <c r="H44" s="113">
        <f t="shared" si="1"/>
        <v>1219875.1446241883</v>
      </c>
      <c r="J44" s="63"/>
      <c r="L44" s="40"/>
    </row>
    <row r="45" spans="1:20" x14ac:dyDescent="0.35">
      <c r="A45" s="34">
        <v>103</v>
      </c>
      <c r="B45" s="34" t="s">
        <v>89</v>
      </c>
      <c r="C45" s="35">
        <f>Bestämningsfaktor_kommunvis!C37</f>
        <v>5</v>
      </c>
      <c r="D45" s="61">
        <v>-204</v>
      </c>
      <c r="E45" s="61">
        <v>-197</v>
      </c>
      <c r="F45" s="61">
        <f t="shared" si="3"/>
        <v>200.5</v>
      </c>
      <c r="G45" s="38">
        <f t="shared" si="0"/>
        <v>4.645155311520796E-4</v>
      </c>
      <c r="H45" s="113">
        <f t="shared" si="1"/>
        <v>212775.09047163965</v>
      </c>
      <c r="J45" s="63"/>
      <c r="L45" s="40"/>
    </row>
    <row r="46" spans="1:20" x14ac:dyDescent="0.35">
      <c r="A46" s="34">
        <v>105</v>
      </c>
      <c r="B46" s="34" t="s">
        <v>90</v>
      </c>
      <c r="C46" s="35">
        <f>Bestämningsfaktor_kommunvis!C38</f>
        <v>18</v>
      </c>
      <c r="D46" s="61">
        <v>-212</v>
      </c>
      <c r="E46" s="61">
        <v>-219</v>
      </c>
      <c r="F46" s="61">
        <f t="shared" si="3"/>
        <v>215.5</v>
      </c>
      <c r="G46" s="38">
        <f t="shared" si="0"/>
        <v>4.9926731652505309E-4</v>
      </c>
      <c r="H46" s="113">
        <f t="shared" si="1"/>
        <v>228693.42641714882</v>
      </c>
      <c r="J46" s="63"/>
      <c r="L46" s="40"/>
    </row>
    <row r="47" spans="1:20" x14ac:dyDescent="0.35">
      <c r="A47" s="34">
        <v>106</v>
      </c>
      <c r="B47" s="34" t="s">
        <v>91</v>
      </c>
      <c r="C47" s="35">
        <f>Bestämningsfaktor_kommunvis!C39</f>
        <v>35</v>
      </c>
      <c r="D47" s="61">
        <v>-3427</v>
      </c>
      <c r="E47" s="61">
        <v>-3558</v>
      </c>
      <c r="F47" s="61">
        <f t="shared" si="3"/>
        <v>3492.5</v>
      </c>
      <c r="G47" s="38">
        <f t="shared" si="0"/>
        <v>8.0913740276740056E-3</v>
      </c>
      <c r="H47" s="113">
        <f t="shared" si="1"/>
        <v>3706319.2193127256</v>
      </c>
      <c r="J47" s="63"/>
      <c r="L47" s="40"/>
    </row>
    <row r="48" spans="1:20" x14ac:dyDescent="0.35">
      <c r="A48" s="34">
        <v>108</v>
      </c>
      <c r="B48" s="34" t="s">
        <v>92</v>
      </c>
      <c r="C48" s="35">
        <f>Bestämningsfaktor_kommunvis!C40</f>
        <v>6</v>
      </c>
      <c r="D48" s="61">
        <v>-736</v>
      </c>
      <c r="E48" s="61">
        <v>-763</v>
      </c>
      <c r="F48" s="61">
        <f t="shared" si="3"/>
        <v>749.5</v>
      </c>
      <c r="G48" s="38">
        <f t="shared" si="0"/>
        <v>1.7364308758029111E-3</v>
      </c>
      <c r="H48" s="113">
        <f t="shared" si="1"/>
        <v>795386.18607727636</v>
      </c>
      <c r="J48" s="63"/>
      <c r="L48" s="40"/>
    </row>
    <row r="49" spans="1:12" x14ac:dyDescent="0.35">
      <c r="A49" s="34">
        <v>109</v>
      </c>
      <c r="B49" s="34" t="s">
        <v>93</v>
      </c>
      <c r="C49" s="35">
        <f>Bestämningsfaktor_kommunvis!C41</f>
        <v>5</v>
      </c>
      <c r="D49" s="61">
        <v>-4427</v>
      </c>
      <c r="E49" s="61">
        <v>-4567</v>
      </c>
      <c r="F49" s="61">
        <f t="shared" si="3"/>
        <v>4497</v>
      </c>
      <c r="G49" s="38">
        <f t="shared" si="0"/>
        <v>1.0418585254817467E-2</v>
      </c>
      <c r="H49" s="113">
        <f t="shared" si="1"/>
        <v>4772317.1164636584</v>
      </c>
      <c r="J49" s="63"/>
      <c r="L49" s="40"/>
    </row>
    <row r="50" spans="1:12" x14ac:dyDescent="0.35">
      <c r="A50" s="34">
        <v>111</v>
      </c>
      <c r="B50" s="34" t="s">
        <v>94</v>
      </c>
      <c r="C50" s="35">
        <f>Bestämningsfaktor_kommunvis!C42</f>
        <v>7</v>
      </c>
      <c r="D50" s="61">
        <v>-2400</v>
      </c>
      <c r="E50" s="61">
        <v>-2384</v>
      </c>
      <c r="F50" s="61">
        <f t="shared" si="3"/>
        <v>2392</v>
      </c>
      <c r="G50" s="38">
        <f t="shared" si="0"/>
        <v>5.5417513741435132E-3</v>
      </c>
      <c r="H50" s="113">
        <f t="shared" si="1"/>
        <v>2538443.9721105336</v>
      </c>
      <c r="J50" s="63"/>
      <c r="L50" s="40"/>
    </row>
    <row r="51" spans="1:12" x14ac:dyDescent="0.35">
      <c r="A51" s="34">
        <v>139</v>
      </c>
      <c r="B51" s="34" t="s">
        <v>95</v>
      </c>
      <c r="C51" s="35">
        <f>Bestämningsfaktor_kommunvis!C43</f>
        <v>17</v>
      </c>
      <c r="D51" s="61">
        <v>-632</v>
      </c>
      <c r="E51" s="61">
        <v>-673</v>
      </c>
      <c r="F51" s="61">
        <f t="shared" si="3"/>
        <v>652.5</v>
      </c>
      <c r="G51" s="38">
        <f t="shared" si="0"/>
        <v>1.5117026637243489E-3</v>
      </c>
      <c r="H51" s="113">
        <f t="shared" si="1"/>
        <v>692447.61362965021</v>
      </c>
      <c r="J51" s="63"/>
      <c r="L51" s="40"/>
    </row>
    <row r="52" spans="1:12" x14ac:dyDescent="0.35">
      <c r="A52" s="34">
        <v>140</v>
      </c>
      <c r="B52" s="34" t="s">
        <v>96</v>
      </c>
      <c r="C52" s="35">
        <f>Bestämningsfaktor_kommunvis!C44</f>
        <v>11</v>
      </c>
      <c r="D52" s="61">
        <v>-1884</v>
      </c>
      <c r="E52" s="61">
        <v>-1930</v>
      </c>
      <c r="F52" s="61">
        <f t="shared" si="3"/>
        <v>1907</v>
      </c>
      <c r="G52" s="38">
        <f t="shared" si="0"/>
        <v>4.4181103137507019E-3</v>
      </c>
      <c r="H52" s="113">
        <f t="shared" si="1"/>
        <v>2023751.1098724029</v>
      </c>
      <c r="J52" s="63"/>
      <c r="L52" s="40"/>
    </row>
    <row r="53" spans="1:12" x14ac:dyDescent="0.35">
      <c r="A53" s="34">
        <v>142</v>
      </c>
      <c r="B53" s="34" t="s">
        <v>97</v>
      </c>
      <c r="C53" s="35">
        <f>Bestämningsfaktor_kommunvis!C45</f>
        <v>7</v>
      </c>
      <c r="D53" s="61">
        <v>-602</v>
      </c>
      <c r="E53" s="61">
        <v>-601</v>
      </c>
      <c r="F53" s="61">
        <f t="shared" si="3"/>
        <v>601.5</v>
      </c>
      <c r="G53" s="38">
        <f t="shared" si="0"/>
        <v>1.3935465934562389E-3</v>
      </c>
      <c r="H53" s="113">
        <f t="shared" si="1"/>
        <v>638325.27141491894</v>
      </c>
      <c r="J53" s="63"/>
      <c r="L53" s="40"/>
    </row>
    <row r="54" spans="1:12" x14ac:dyDescent="0.35">
      <c r="A54" s="34">
        <v>143</v>
      </c>
      <c r="B54" s="34" t="s">
        <v>98</v>
      </c>
      <c r="C54" s="35">
        <f>Bestämningsfaktor_kommunvis!C46</f>
        <v>6</v>
      </c>
      <c r="D54" s="61">
        <v>-511</v>
      </c>
      <c r="E54" s="61">
        <v>-534</v>
      </c>
      <c r="F54" s="61">
        <f t="shared" si="3"/>
        <v>522.5</v>
      </c>
      <c r="G54" s="38">
        <f t="shared" si="0"/>
        <v>1.2105205238252448E-3</v>
      </c>
      <c r="H54" s="113">
        <f t="shared" si="1"/>
        <v>554488.70210190373</v>
      </c>
      <c r="J54" s="63"/>
      <c r="L54" s="40"/>
    </row>
    <row r="55" spans="1:12" x14ac:dyDescent="0.35">
      <c r="A55" s="34">
        <v>145</v>
      </c>
      <c r="B55" s="34" t="s">
        <v>99</v>
      </c>
      <c r="C55" s="35">
        <f>Bestämningsfaktor_kommunvis!C47</f>
        <v>14</v>
      </c>
      <c r="D55" s="61">
        <v>-1097</v>
      </c>
      <c r="E55" s="61">
        <v>-1152</v>
      </c>
      <c r="F55" s="61">
        <f t="shared" si="3"/>
        <v>1124.5</v>
      </c>
      <c r="G55" s="38">
        <f t="shared" si="0"/>
        <v>2.6052255101272495E-3</v>
      </c>
      <c r="H55" s="113">
        <f t="shared" si="1"/>
        <v>1193344.5847150064</v>
      </c>
      <c r="J55" s="63"/>
      <c r="L55" s="40"/>
    </row>
    <row r="56" spans="1:12" x14ac:dyDescent="0.35">
      <c r="A56" s="34">
        <v>146</v>
      </c>
      <c r="B56" s="34" t="s">
        <v>100</v>
      </c>
      <c r="C56" s="35">
        <f>Bestämningsfaktor_kommunvis!C48</f>
        <v>12</v>
      </c>
      <c r="D56" s="61">
        <v>-387</v>
      </c>
      <c r="E56" s="61">
        <v>-389</v>
      </c>
      <c r="F56" s="61">
        <f t="shared" si="3"/>
        <v>388</v>
      </c>
      <c r="G56" s="38">
        <f t="shared" si="0"/>
        <v>8.9891284831424879E-4</v>
      </c>
      <c r="H56" s="113">
        <f t="shared" si="1"/>
        <v>411754.28979050467</v>
      </c>
      <c r="J56" s="63"/>
      <c r="L56" s="40"/>
    </row>
    <row r="57" spans="1:12" x14ac:dyDescent="0.35">
      <c r="A57" s="34">
        <v>148</v>
      </c>
      <c r="B57" s="34" t="s">
        <v>101</v>
      </c>
      <c r="C57" s="35">
        <f>Bestämningsfaktor_kommunvis!C49</f>
        <v>19</v>
      </c>
      <c r="D57" s="61">
        <v>-726</v>
      </c>
      <c r="E57" s="61">
        <v>-745</v>
      </c>
      <c r="F57" s="61">
        <f t="shared" si="3"/>
        <v>735.5</v>
      </c>
      <c r="G57" s="38">
        <f t="shared" si="0"/>
        <v>1.703995876121469E-3</v>
      </c>
      <c r="H57" s="113">
        <f t="shared" si="1"/>
        <v>780529.07252813445</v>
      </c>
      <c r="J57" s="63"/>
      <c r="L57" s="40"/>
    </row>
    <row r="58" spans="1:12" x14ac:dyDescent="0.35">
      <c r="A58" s="34">
        <v>149</v>
      </c>
      <c r="B58" s="34" t="s">
        <v>102</v>
      </c>
      <c r="C58" s="35">
        <f>Bestämningsfaktor_kommunvis!C50</f>
        <v>33</v>
      </c>
      <c r="D58" s="61">
        <v>-356</v>
      </c>
      <c r="E58" s="61">
        <v>-363</v>
      </c>
      <c r="F58" s="61">
        <f t="shared" si="3"/>
        <v>359.5</v>
      </c>
      <c r="G58" s="38">
        <f t="shared" si="0"/>
        <v>8.3288445610559913E-4</v>
      </c>
      <c r="H58" s="113">
        <f t="shared" si="1"/>
        <v>381509.45149403717</v>
      </c>
      <c r="J58" s="63"/>
      <c r="L58" s="40"/>
    </row>
    <row r="59" spans="1:12" x14ac:dyDescent="0.35">
      <c r="A59" s="34">
        <v>151</v>
      </c>
      <c r="B59" s="34" t="s">
        <v>103</v>
      </c>
      <c r="C59" s="35">
        <f>Bestämningsfaktor_kommunvis!C51</f>
        <v>14</v>
      </c>
      <c r="D59" s="61">
        <v>-190</v>
      </c>
      <c r="E59" s="61">
        <v>-194</v>
      </c>
      <c r="F59" s="61">
        <f t="shared" si="3"/>
        <v>192</v>
      </c>
      <c r="G59" s="38">
        <f t="shared" si="0"/>
        <v>4.4482285277406126E-4</v>
      </c>
      <c r="H59" s="113">
        <f t="shared" si="1"/>
        <v>203754.70010251776</v>
      </c>
      <c r="J59" s="63"/>
      <c r="L59" s="40"/>
    </row>
    <row r="60" spans="1:12" x14ac:dyDescent="0.35">
      <c r="A60" s="34">
        <v>152</v>
      </c>
      <c r="B60" s="34" t="s">
        <v>104</v>
      </c>
      <c r="C60" s="35">
        <f>Bestämningsfaktor_kommunvis!C52</f>
        <v>14</v>
      </c>
      <c r="D60" s="61">
        <v>-363</v>
      </c>
      <c r="E60" s="61">
        <v>-347</v>
      </c>
      <c r="F60" s="61">
        <f t="shared" si="3"/>
        <v>355</v>
      </c>
      <c r="G60" s="38">
        <f t="shared" si="0"/>
        <v>8.2245892049370706E-4</v>
      </c>
      <c r="H60" s="113">
        <f t="shared" si="1"/>
        <v>376733.95071038441</v>
      </c>
      <c r="J60" s="63"/>
      <c r="L60" s="40"/>
    </row>
    <row r="61" spans="1:12" x14ac:dyDescent="0.35">
      <c r="A61" s="34">
        <v>153</v>
      </c>
      <c r="B61" s="34" t="s">
        <v>105</v>
      </c>
      <c r="C61" s="35">
        <f>Bestämningsfaktor_kommunvis!C53</f>
        <v>9</v>
      </c>
      <c r="D61" s="61">
        <v>-2551</v>
      </c>
      <c r="E61" s="61">
        <v>-2608</v>
      </c>
      <c r="F61" s="61">
        <f t="shared" si="3"/>
        <v>2579.5</v>
      </c>
      <c r="G61" s="38">
        <f t="shared" si="0"/>
        <v>5.9761486913056825E-3</v>
      </c>
      <c r="H61" s="113">
        <f t="shared" si="1"/>
        <v>2737423.1714293989</v>
      </c>
      <c r="J61" s="63"/>
      <c r="L61" s="40"/>
    </row>
    <row r="62" spans="1:12" x14ac:dyDescent="0.35">
      <c r="A62" s="34">
        <v>165</v>
      </c>
      <c r="B62" s="34" t="s">
        <v>106</v>
      </c>
      <c r="C62" s="35">
        <f>Bestämningsfaktor_kommunvis!C54</f>
        <v>5</v>
      </c>
      <c r="D62" s="61">
        <v>-1188</v>
      </c>
      <c r="E62" s="61">
        <v>-1287</v>
      </c>
      <c r="F62" s="61">
        <f t="shared" si="3"/>
        <v>1237.5</v>
      </c>
      <c r="G62" s="38">
        <f t="shared" si="0"/>
        <v>2.8670222932703168E-3</v>
      </c>
      <c r="H62" s="113">
        <f t="shared" si="1"/>
        <v>1313262.7155045092</v>
      </c>
      <c r="J62" s="63"/>
      <c r="L62" s="40"/>
    </row>
    <row r="63" spans="1:12" x14ac:dyDescent="0.35">
      <c r="A63" s="34">
        <v>167</v>
      </c>
      <c r="B63" s="34" t="s">
        <v>107</v>
      </c>
      <c r="C63" s="35">
        <f>Bestämningsfaktor_kommunvis!C55</f>
        <v>12</v>
      </c>
      <c r="D63" s="61">
        <v>-5723</v>
      </c>
      <c r="E63" s="61">
        <v>-8087</v>
      </c>
      <c r="F63" s="61">
        <f t="shared" si="3"/>
        <v>6905</v>
      </c>
      <c r="G63" s="38">
        <f t="shared" si="0"/>
        <v>1.5997405200025485E-2</v>
      </c>
      <c r="H63" s="113">
        <f t="shared" si="1"/>
        <v>7327740.6469160691</v>
      </c>
      <c r="J63" s="63"/>
      <c r="L63" s="40"/>
    </row>
    <row r="64" spans="1:12" x14ac:dyDescent="0.35">
      <c r="A64" s="34">
        <v>169</v>
      </c>
      <c r="B64" s="34" t="s">
        <v>108</v>
      </c>
      <c r="C64" s="35">
        <f>Bestämningsfaktor_kommunvis!C56</f>
        <v>5</v>
      </c>
      <c r="D64" s="61">
        <v>-396</v>
      </c>
      <c r="E64" s="61">
        <v>-395</v>
      </c>
      <c r="F64" s="61">
        <f t="shared" si="3"/>
        <v>395.5</v>
      </c>
      <c r="G64" s="38">
        <f t="shared" si="0"/>
        <v>9.1628874100073562E-4</v>
      </c>
      <c r="H64" s="113">
        <f t="shared" si="1"/>
        <v>419713.4577632593</v>
      </c>
      <c r="J64" s="63"/>
      <c r="L64" s="40"/>
    </row>
    <row r="65" spans="1:12" x14ac:dyDescent="0.35">
      <c r="A65" s="34">
        <v>171</v>
      </c>
      <c r="B65" s="34" t="s">
        <v>109</v>
      </c>
      <c r="C65" s="35">
        <f>Bestämningsfaktor_kommunvis!C57</f>
        <v>11</v>
      </c>
      <c r="D65" s="61">
        <v>-442</v>
      </c>
      <c r="E65" s="61">
        <v>-436</v>
      </c>
      <c r="F65" s="61">
        <f t="shared" si="3"/>
        <v>439</v>
      </c>
      <c r="G65" s="38">
        <f t="shared" si="0"/>
        <v>1.0170689185823589E-3</v>
      </c>
      <c r="H65" s="113">
        <f t="shared" si="1"/>
        <v>465876.632005236</v>
      </c>
      <c r="J65" s="63"/>
      <c r="L65" s="40"/>
    </row>
    <row r="66" spans="1:12" x14ac:dyDescent="0.35">
      <c r="A66" s="34">
        <v>172</v>
      </c>
      <c r="B66" s="34" t="s">
        <v>110</v>
      </c>
      <c r="C66" s="35">
        <f>Bestämningsfaktor_kommunvis!C58</f>
        <v>13</v>
      </c>
      <c r="D66" s="61">
        <v>-374</v>
      </c>
      <c r="E66" s="61">
        <v>-380</v>
      </c>
      <c r="F66" s="61">
        <f t="shared" si="3"/>
        <v>377</v>
      </c>
      <c r="G66" s="38">
        <f t="shared" si="0"/>
        <v>8.7342820570740151E-4</v>
      </c>
      <c r="H66" s="113">
        <f t="shared" si="1"/>
        <v>400080.84343046456</v>
      </c>
      <c r="J66" s="63"/>
      <c r="L66" s="40"/>
    </row>
    <row r="67" spans="1:12" x14ac:dyDescent="0.35">
      <c r="A67" s="34">
        <v>176</v>
      </c>
      <c r="B67" s="34" t="s">
        <v>111</v>
      </c>
      <c r="C67" s="35">
        <f>Bestämningsfaktor_kommunvis!C59</f>
        <v>12</v>
      </c>
      <c r="D67" s="61">
        <v>-381</v>
      </c>
      <c r="E67" s="61">
        <v>-520</v>
      </c>
      <c r="F67" s="61">
        <f t="shared" si="3"/>
        <v>450.5</v>
      </c>
      <c r="G67" s="38">
        <f t="shared" si="0"/>
        <v>1.0437119540349718E-3</v>
      </c>
      <c r="H67" s="113">
        <f t="shared" si="1"/>
        <v>478080.6895634596</v>
      </c>
      <c r="J67" s="63"/>
      <c r="L67" s="40"/>
    </row>
    <row r="68" spans="1:12" x14ac:dyDescent="0.35">
      <c r="A68" s="34">
        <v>177</v>
      </c>
      <c r="B68" s="34" t="s">
        <v>112</v>
      </c>
      <c r="C68" s="35">
        <f>Bestämningsfaktor_kommunvis!C60</f>
        <v>6</v>
      </c>
      <c r="D68" s="61">
        <v>-132</v>
      </c>
      <c r="E68" s="61">
        <v>-139</v>
      </c>
      <c r="F68" s="61">
        <f t="shared" si="3"/>
        <v>135.5</v>
      </c>
      <c r="G68" s="38">
        <f t="shared" si="0"/>
        <v>3.139244612025276E-4</v>
      </c>
      <c r="H68" s="113">
        <f t="shared" si="1"/>
        <v>143795.63470776644</v>
      </c>
      <c r="J68" s="63"/>
      <c r="L68" s="40"/>
    </row>
    <row r="69" spans="1:12" x14ac:dyDescent="0.35">
      <c r="A69" s="34">
        <v>178</v>
      </c>
      <c r="B69" s="34" t="s">
        <v>113</v>
      </c>
      <c r="C69" s="35">
        <f>Bestämningsfaktor_kommunvis!C61</f>
        <v>10</v>
      </c>
      <c r="D69" s="61">
        <v>-512</v>
      </c>
      <c r="E69" s="61">
        <v>-508</v>
      </c>
      <c r="F69" s="61">
        <f t="shared" si="3"/>
        <v>510</v>
      </c>
      <c r="G69" s="38">
        <f t="shared" si="0"/>
        <v>1.1815607026811003E-3</v>
      </c>
      <c r="H69" s="113">
        <f t="shared" si="1"/>
        <v>541223.42214731278</v>
      </c>
      <c r="J69" s="63"/>
      <c r="L69" s="40"/>
    </row>
    <row r="70" spans="1:12" x14ac:dyDescent="0.35">
      <c r="A70" s="34">
        <v>179</v>
      </c>
      <c r="B70" s="34" t="s">
        <v>114</v>
      </c>
      <c r="C70" s="35">
        <f>Bestämningsfaktor_kommunvis!C62</f>
        <v>13</v>
      </c>
      <c r="D70" s="61">
        <v>-13172</v>
      </c>
      <c r="E70" s="61">
        <v>-13126</v>
      </c>
      <c r="F70" s="61">
        <f t="shared" si="3"/>
        <v>13149</v>
      </c>
      <c r="G70" s="38">
        <f t="shared" si="0"/>
        <v>3.0463415057948601E-2</v>
      </c>
      <c r="H70" s="113">
        <f t="shared" si="1"/>
        <v>13954013.289833365</v>
      </c>
      <c r="J70" s="63"/>
      <c r="L70" s="40"/>
    </row>
    <row r="71" spans="1:12" x14ac:dyDescent="0.35">
      <c r="A71" s="34">
        <v>181</v>
      </c>
      <c r="B71" s="34" t="s">
        <v>115</v>
      </c>
      <c r="C71" s="35">
        <f>Bestämningsfaktor_kommunvis!C63</f>
        <v>4</v>
      </c>
      <c r="D71" s="61">
        <v>-164</v>
      </c>
      <c r="E71" s="61">
        <v>-181</v>
      </c>
      <c r="F71" s="61">
        <f t="shared" si="3"/>
        <v>172.5</v>
      </c>
      <c r="G71" s="38">
        <f t="shared" si="0"/>
        <v>3.9964553178919565E-4</v>
      </c>
      <c r="H71" s="113">
        <f t="shared" si="1"/>
        <v>183060.86337335579</v>
      </c>
      <c r="J71" s="63"/>
      <c r="L71" s="40"/>
    </row>
    <row r="72" spans="1:12" x14ac:dyDescent="0.35">
      <c r="A72" s="34">
        <v>182</v>
      </c>
      <c r="B72" s="34" t="s">
        <v>116</v>
      </c>
      <c r="C72" s="35">
        <f>Bestämningsfaktor_kommunvis!C64</f>
        <v>13</v>
      </c>
      <c r="D72" s="61">
        <v>-1684</v>
      </c>
      <c r="E72" s="61">
        <v>-1713</v>
      </c>
      <c r="F72" s="61">
        <f t="shared" si="3"/>
        <v>1698.5</v>
      </c>
      <c r="G72" s="38">
        <f t="shared" si="0"/>
        <v>3.9350604970663705E-3</v>
      </c>
      <c r="H72" s="113">
        <f t="shared" si="1"/>
        <v>1802486.2402298253</v>
      </c>
      <c r="J72" s="63"/>
      <c r="L72" s="40"/>
    </row>
    <row r="73" spans="1:12" x14ac:dyDescent="0.35">
      <c r="A73" s="34">
        <v>186</v>
      </c>
      <c r="B73" s="34" t="s">
        <v>117</v>
      </c>
      <c r="C73" s="35">
        <f>Bestämningsfaktor_kommunvis!C65</f>
        <v>35</v>
      </c>
      <c r="D73" s="61">
        <v>-2875</v>
      </c>
      <c r="E73" s="61">
        <v>-2979</v>
      </c>
      <c r="F73" s="61">
        <f t="shared" si="3"/>
        <v>2927</v>
      </c>
      <c r="G73" s="38">
        <f t="shared" si="0"/>
        <v>6.7812317191129024E-3</v>
      </c>
      <c r="H73" s="113">
        <f t="shared" si="1"/>
        <v>3106197.9541670284</v>
      </c>
      <c r="J73" s="63"/>
      <c r="L73" s="40"/>
    </row>
    <row r="74" spans="1:12" x14ac:dyDescent="0.35">
      <c r="A74" s="34">
        <v>202</v>
      </c>
      <c r="B74" s="34" t="s">
        <v>118</v>
      </c>
      <c r="C74" s="35">
        <f>Bestämningsfaktor_kommunvis!C66</f>
        <v>2</v>
      </c>
      <c r="D74" s="61">
        <v>-2321</v>
      </c>
      <c r="E74" s="61">
        <v>-2383</v>
      </c>
      <c r="F74" s="61">
        <f t="shared" si="3"/>
        <v>2352</v>
      </c>
      <c r="G74" s="38">
        <f t="shared" si="0"/>
        <v>5.4490799464822501E-3</v>
      </c>
      <c r="H74" s="113">
        <f t="shared" si="1"/>
        <v>2495995.0762558426</v>
      </c>
      <c r="J74" s="63"/>
      <c r="L74" s="40"/>
    </row>
    <row r="75" spans="1:12" x14ac:dyDescent="0.35">
      <c r="A75" s="34">
        <v>204</v>
      </c>
      <c r="B75" s="34" t="s">
        <v>119</v>
      </c>
      <c r="C75" s="35">
        <f>Bestämningsfaktor_kommunvis!C67</f>
        <v>11</v>
      </c>
      <c r="D75" s="61">
        <v>-292</v>
      </c>
      <c r="E75" s="61">
        <v>-295</v>
      </c>
      <c r="F75" s="61">
        <f t="shared" si="3"/>
        <v>293.5</v>
      </c>
      <c r="G75" s="38">
        <f t="shared" si="0"/>
        <v>6.7997660046451556E-4</v>
      </c>
      <c r="H75" s="113">
        <f t="shared" si="1"/>
        <v>311468.77333379671</v>
      </c>
      <c r="J75" s="63"/>
      <c r="L75" s="40"/>
    </row>
    <row r="76" spans="1:12" x14ac:dyDescent="0.35">
      <c r="A76" s="34">
        <v>205</v>
      </c>
      <c r="B76" s="34" t="s">
        <v>120</v>
      </c>
      <c r="C76" s="35">
        <f>Bestämningsfaktor_kommunvis!C68</f>
        <v>18</v>
      </c>
      <c r="D76" s="61">
        <v>-3513</v>
      </c>
      <c r="E76" s="61">
        <v>-3673</v>
      </c>
      <c r="F76" s="61">
        <f t="shared" si="3"/>
        <v>3593</v>
      </c>
      <c r="G76" s="38">
        <f t="shared" ref="G76:G139" si="4">F76/$F$12</f>
        <v>8.3242109896729272E-3</v>
      </c>
      <c r="H76" s="113">
        <f t="shared" si="1"/>
        <v>3812972.0701476368</v>
      </c>
      <c r="J76" s="63"/>
      <c r="L76" s="40"/>
    </row>
    <row r="77" spans="1:12" x14ac:dyDescent="0.35">
      <c r="A77" s="34">
        <v>208</v>
      </c>
      <c r="B77" s="34" t="s">
        <v>121</v>
      </c>
      <c r="C77" s="35">
        <f>Bestämningsfaktor_kommunvis!C69</f>
        <v>17</v>
      </c>
      <c r="D77" s="61">
        <v>-1293</v>
      </c>
      <c r="E77" s="61">
        <v>-1371</v>
      </c>
      <c r="F77" s="61">
        <f t="shared" si="3"/>
        <v>1332</v>
      </c>
      <c r="G77" s="38">
        <f t="shared" si="4"/>
        <v>3.08595854112005E-3</v>
      </c>
      <c r="H77" s="113">
        <f t="shared" ref="H77:H140" si="5">(G77*$H$12)</f>
        <v>1413548.231961217</v>
      </c>
      <c r="J77" s="63"/>
      <c r="L77" s="40"/>
    </row>
    <row r="78" spans="1:12" x14ac:dyDescent="0.35">
      <c r="A78" s="34">
        <v>211</v>
      </c>
      <c r="B78" s="34" t="s">
        <v>122</v>
      </c>
      <c r="C78" s="35">
        <f>Bestämningsfaktor_kommunvis!C70</f>
        <v>6</v>
      </c>
      <c r="D78" s="61">
        <v>-2148</v>
      </c>
      <c r="E78" s="61">
        <v>-2274</v>
      </c>
      <c r="F78" s="61">
        <f t="shared" ref="F78:F141" si="6">-AVERAGE(D78:E78)</f>
        <v>2211</v>
      </c>
      <c r="G78" s="38">
        <f t="shared" si="4"/>
        <v>5.1224131639762997E-3</v>
      </c>
      <c r="H78" s="113">
        <f t="shared" si="5"/>
        <v>2346362.7183680562</v>
      </c>
      <c r="J78" s="63"/>
      <c r="L78" s="40"/>
    </row>
    <row r="79" spans="1:12" x14ac:dyDescent="0.35">
      <c r="A79" s="34">
        <v>213</v>
      </c>
      <c r="B79" s="34" t="s">
        <v>123</v>
      </c>
      <c r="C79" s="35">
        <f>Bestämningsfaktor_kommunvis!C71</f>
        <v>10</v>
      </c>
      <c r="D79" s="61">
        <v>-450</v>
      </c>
      <c r="E79" s="61">
        <v>-463</v>
      </c>
      <c r="F79" s="61">
        <f t="shared" si="6"/>
        <v>456.5</v>
      </c>
      <c r="G79" s="38">
        <f t="shared" si="4"/>
        <v>1.0576126681841613E-3</v>
      </c>
      <c r="H79" s="113">
        <f t="shared" si="5"/>
        <v>484448.02394166333</v>
      </c>
      <c r="J79" s="63"/>
      <c r="L79" s="40"/>
    </row>
    <row r="80" spans="1:12" x14ac:dyDescent="0.35">
      <c r="A80" s="34">
        <v>214</v>
      </c>
      <c r="B80" s="34" t="s">
        <v>124</v>
      </c>
      <c r="C80" s="35">
        <f>Bestämningsfaktor_kommunvis!C72</f>
        <v>4</v>
      </c>
      <c r="D80" s="61">
        <v>-1075</v>
      </c>
      <c r="E80" s="61">
        <v>-1160</v>
      </c>
      <c r="F80" s="61">
        <f t="shared" si="6"/>
        <v>1117.5</v>
      </c>
      <c r="G80" s="38">
        <f t="shared" si="4"/>
        <v>2.5890080102865284E-3</v>
      </c>
      <c r="H80" s="113">
        <f t="shared" si="5"/>
        <v>1185916.0279404353</v>
      </c>
      <c r="J80" s="63"/>
      <c r="L80" s="40"/>
    </row>
    <row r="81" spans="1:12" x14ac:dyDescent="0.35">
      <c r="A81" s="34">
        <v>216</v>
      </c>
      <c r="B81" s="34" t="s">
        <v>125</v>
      </c>
      <c r="C81" s="35">
        <f>Bestämningsfaktor_kommunvis!C73</f>
        <v>13</v>
      </c>
      <c r="D81" s="61">
        <v>-118</v>
      </c>
      <c r="E81" s="61">
        <v>-118</v>
      </c>
      <c r="F81" s="61">
        <f t="shared" si="6"/>
        <v>118</v>
      </c>
      <c r="G81" s="38">
        <f t="shared" si="4"/>
        <v>2.7338071160072516E-4</v>
      </c>
      <c r="H81" s="113">
        <f t="shared" si="5"/>
        <v>125224.24277133905</v>
      </c>
      <c r="J81" s="63"/>
      <c r="L81" s="40"/>
    </row>
    <row r="82" spans="1:12" x14ac:dyDescent="0.35">
      <c r="A82" s="34">
        <v>217</v>
      </c>
      <c r="B82" s="34" t="s">
        <v>126</v>
      </c>
      <c r="C82" s="35">
        <f>Bestämningsfaktor_kommunvis!C74</f>
        <v>16</v>
      </c>
      <c r="D82" s="61">
        <v>-517</v>
      </c>
      <c r="E82" s="61">
        <v>-518</v>
      </c>
      <c r="F82" s="61">
        <f t="shared" si="6"/>
        <v>517.5</v>
      </c>
      <c r="G82" s="38">
        <f t="shared" si="4"/>
        <v>1.1989365953675871E-3</v>
      </c>
      <c r="H82" s="113">
        <f t="shared" si="5"/>
        <v>549182.59012006747</v>
      </c>
      <c r="J82" s="63"/>
      <c r="L82" s="40"/>
    </row>
    <row r="83" spans="1:12" x14ac:dyDescent="0.35">
      <c r="A83" s="34">
        <v>218</v>
      </c>
      <c r="B83" s="34" t="s">
        <v>127</v>
      </c>
      <c r="C83" s="35">
        <f>Bestämningsfaktor_kommunvis!C75</f>
        <v>14</v>
      </c>
      <c r="D83" s="61">
        <v>-125</v>
      </c>
      <c r="E83" s="61">
        <v>-127</v>
      </c>
      <c r="F83" s="61">
        <f t="shared" si="6"/>
        <v>126</v>
      </c>
      <c r="G83" s="38">
        <f t="shared" si="4"/>
        <v>2.9191499713297769E-4</v>
      </c>
      <c r="H83" s="113">
        <f t="shared" si="5"/>
        <v>133714.02194227726</v>
      </c>
      <c r="J83" s="63"/>
      <c r="L83" s="40"/>
    </row>
    <row r="84" spans="1:12" x14ac:dyDescent="0.35">
      <c r="A84" s="34">
        <v>224</v>
      </c>
      <c r="B84" s="34" t="s">
        <v>128</v>
      </c>
      <c r="C84" s="35">
        <f>Bestämningsfaktor_kommunvis!C76</f>
        <v>33</v>
      </c>
      <c r="D84" s="61">
        <v>-597</v>
      </c>
      <c r="E84" s="61">
        <v>-616</v>
      </c>
      <c r="F84" s="61">
        <f t="shared" si="6"/>
        <v>606.5</v>
      </c>
      <c r="G84" s="38">
        <f t="shared" si="4"/>
        <v>1.4051305219138967E-3</v>
      </c>
      <c r="H84" s="113">
        <f t="shared" si="5"/>
        <v>643631.38339675532</v>
      </c>
      <c r="J84" s="63"/>
      <c r="L84" s="40"/>
    </row>
    <row r="85" spans="1:12" x14ac:dyDescent="0.35">
      <c r="A85" s="34">
        <v>226</v>
      </c>
      <c r="B85" s="34" t="s">
        <v>129</v>
      </c>
      <c r="C85" s="35">
        <f>Bestämningsfaktor_kommunvis!C77</f>
        <v>13</v>
      </c>
      <c r="D85" s="61">
        <v>-330</v>
      </c>
      <c r="E85" s="61">
        <v>-336</v>
      </c>
      <c r="F85" s="61">
        <f t="shared" si="6"/>
        <v>333</v>
      </c>
      <c r="G85" s="38">
        <f t="shared" si="4"/>
        <v>7.714896352800125E-4</v>
      </c>
      <c r="H85" s="113">
        <f t="shared" si="5"/>
        <v>353387.05799030425</v>
      </c>
      <c r="J85" s="63"/>
      <c r="L85" s="40"/>
    </row>
    <row r="86" spans="1:12" x14ac:dyDescent="0.35">
      <c r="A86" s="34">
        <v>230</v>
      </c>
      <c r="B86" s="34" t="s">
        <v>130</v>
      </c>
      <c r="C86" s="35">
        <f>Bestämningsfaktor_kommunvis!C78</f>
        <v>4</v>
      </c>
      <c r="D86" s="61">
        <v>-333</v>
      </c>
      <c r="E86" s="61">
        <v>-353</v>
      </c>
      <c r="F86" s="61">
        <f t="shared" si="6"/>
        <v>343</v>
      </c>
      <c r="G86" s="38">
        <f t="shared" si="4"/>
        <v>7.9465749219532816E-4</v>
      </c>
      <c r="H86" s="113">
        <f t="shared" si="5"/>
        <v>363999.28195397701</v>
      </c>
      <c r="J86" s="63"/>
      <c r="L86" s="40"/>
    </row>
    <row r="87" spans="1:12" x14ac:dyDescent="0.35">
      <c r="A87" s="34">
        <v>231</v>
      </c>
      <c r="B87" s="34" t="s">
        <v>131</v>
      </c>
      <c r="C87" s="35">
        <f>Bestämningsfaktor_kommunvis!C79</f>
        <v>15</v>
      </c>
      <c r="D87" s="61">
        <v>-74</v>
      </c>
      <c r="E87" s="61">
        <v>-68</v>
      </c>
      <c r="F87" s="61">
        <f t="shared" si="6"/>
        <v>71</v>
      </c>
      <c r="G87" s="38">
        <f t="shared" si="4"/>
        <v>1.644917840987414E-4</v>
      </c>
      <c r="H87" s="113">
        <f t="shared" si="5"/>
        <v>75346.790142076876</v>
      </c>
      <c r="J87" s="63"/>
      <c r="L87" s="40"/>
    </row>
    <row r="88" spans="1:12" x14ac:dyDescent="0.35">
      <c r="A88" s="34">
        <v>232</v>
      </c>
      <c r="B88" s="34" t="s">
        <v>132</v>
      </c>
      <c r="C88" s="35">
        <f>Bestämningsfaktor_kommunvis!C80</f>
        <v>14</v>
      </c>
      <c r="D88" s="61">
        <v>-1274</v>
      </c>
      <c r="E88" s="61">
        <v>-1317</v>
      </c>
      <c r="F88" s="61">
        <f t="shared" si="6"/>
        <v>1295.5</v>
      </c>
      <c r="G88" s="38">
        <f t="shared" si="4"/>
        <v>3.0013958633791477E-3</v>
      </c>
      <c r="H88" s="113">
        <f t="shared" si="5"/>
        <v>1374813.6144938113</v>
      </c>
      <c r="J88" s="63"/>
      <c r="L88" s="40"/>
    </row>
    <row r="89" spans="1:12" x14ac:dyDescent="0.35">
      <c r="A89" s="34">
        <v>233</v>
      </c>
      <c r="B89" s="34" t="s">
        <v>133</v>
      </c>
      <c r="C89" s="35">
        <f>Bestämningsfaktor_kommunvis!C81</f>
        <v>14</v>
      </c>
      <c r="D89" s="61">
        <v>-1506</v>
      </c>
      <c r="E89" s="61">
        <v>-1627</v>
      </c>
      <c r="F89" s="61">
        <f t="shared" si="6"/>
        <v>1566.5</v>
      </c>
      <c r="G89" s="38">
        <f t="shared" si="4"/>
        <v>3.6292447857842031E-3</v>
      </c>
      <c r="H89" s="113">
        <f t="shared" si="5"/>
        <v>1662404.8839093442</v>
      </c>
      <c r="J89" s="63"/>
      <c r="L89" s="40"/>
    </row>
    <row r="90" spans="1:12" x14ac:dyDescent="0.35">
      <c r="A90" s="34">
        <v>235</v>
      </c>
      <c r="B90" s="34" t="s">
        <v>134</v>
      </c>
      <c r="C90" s="35">
        <f>Bestämningsfaktor_kommunvis!C82</f>
        <v>33</v>
      </c>
      <c r="D90" s="61">
        <v>-853</v>
      </c>
      <c r="E90" s="61">
        <v>-895</v>
      </c>
      <c r="F90" s="61">
        <f t="shared" si="6"/>
        <v>874</v>
      </c>
      <c r="G90" s="38">
        <f t="shared" si="4"/>
        <v>2.0248706943985914E-3</v>
      </c>
      <c r="H90" s="113">
        <f t="shared" si="5"/>
        <v>927508.37442500272</v>
      </c>
      <c r="J90" s="63"/>
      <c r="L90" s="40"/>
    </row>
    <row r="91" spans="1:12" x14ac:dyDescent="0.35">
      <c r="A91" s="34">
        <v>236</v>
      </c>
      <c r="B91" s="34" t="s">
        <v>135</v>
      </c>
      <c r="C91" s="35">
        <f>Bestämningsfaktor_kommunvis!C83</f>
        <v>16</v>
      </c>
      <c r="D91" s="61">
        <v>-398</v>
      </c>
      <c r="E91" s="61">
        <v>-386</v>
      </c>
      <c r="F91" s="61">
        <f t="shared" si="6"/>
        <v>392</v>
      </c>
      <c r="G91" s="38">
        <f t="shared" si="4"/>
        <v>9.0817999108037506E-4</v>
      </c>
      <c r="H91" s="113">
        <f t="shared" si="5"/>
        <v>415999.17937597376</v>
      </c>
      <c r="J91" s="63"/>
      <c r="L91" s="40"/>
    </row>
    <row r="92" spans="1:12" x14ac:dyDescent="0.35">
      <c r="A92" s="34">
        <v>239</v>
      </c>
      <c r="B92" s="34" t="s">
        <v>136</v>
      </c>
      <c r="C92" s="35">
        <f>Bestämningsfaktor_kommunvis!C84</f>
        <v>11</v>
      </c>
      <c r="D92" s="61">
        <v>-182</v>
      </c>
      <c r="E92" s="61">
        <v>-189</v>
      </c>
      <c r="F92" s="61">
        <f t="shared" si="6"/>
        <v>185.5</v>
      </c>
      <c r="G92" s="38">
        <f t="shared" si="4"/>
        <v>4.2976374577910606E-4</v>
      </c>
      <c r="H92" s="113">
        <f t="shared" si="5"/>
        <v>196856.75452613045</v>
      </c>
      <c r="J92" s="63"/>
      <c r="L92" s="40"/>
    </row>
    <row r="93" spans="1:12" x14ac:dyDescent="0.35">
      <c r="A93" s="34">
        <v>240</v>
      </c>
      <c r="B93" s="34" t="s">
        <v>137</v>
      </c>
      <c r="C93" s="35">
        <f>Bestämningsfaktor_kommunvis!C85</f>
        <v>19</v>
      </c>
      <c r="D93" s="61">
        <v>-2347</v>
      </c>
      <c r="E93" s="61">
        <v>-2486</v>
      </c>
      <c r="F93" s="61">
        <f t="shared" si="6"/>
        <v>2416.5</v>
      </c>
      <c r="G93" s="38">
        <f t="shared" si="4"/>
        <v>5.5985126235860369E-3</v>
      </c>
      <c r="H93" s="113">
        <f t="shared" si="5"/>
        <v>2564443.9208215321</v>
      </c>
      <c r="J93" s="63"/>
      <c r="L93" s="40"/>
    </row>
    <row r="94" spans="1:12" x14ac:dyDescent="0.35">
      <c r="A94" s="34">
        <v>241</v>
      </c>
      <c r="B94" s="34" t="s">
        <v>138</v>
      </c>
      <c r="C94" s="35">
        <f>Bestämningsfaktor_kommunvis!C86</f>
        <v>19</v>
      </c>
      <c r="D94" s="61">
        <v>-537</v>
      </c>
      <c r="E94" s="61">
        <v>-552</v>
      </c>
      <c r="F94" s="61">
        <f t="shared" si="6"/>
        <v>544.5</v>
      </c>
      <c r="G94" s="38">
        <f t="shared" si="4"/>
        <v>1.2614898090389393E-3</v>
      </c>
      <c r="H94" s="113">
        <f t="shared" si="5"/>
        <v>577835.59482198395</v>
      </c>
      <c r="J94" s="63"/>
      <c r="L94" s="40"/>
    </row>
    <row r="95" spans="1:12" x14ac:dyDescent="0.35">
      <c r="A95" s="34">
        <v>244</v>
      </c>
      <c r="B95" s="34" t="s">
        <v>139</v>
      </c>
      <c r="C95" s="35">
        <f>Bestämningsfaktor_kommunvis!C87</f>
        <v>17</v>
      </c>
      <c r="D95" s="61">
        <v>-1121</v>
      </c>
      <c r="E95" s="61">
        <v>-1127</v>
      </c>
      <c r="F95" s="61">
        <f t="shared" si="6"/>
        <v>1124</v>
      </c>
      <c r="G95" s="38">
        <f t="shared" si="4"/>
        <v>2.6040671172814838E-3</v>
      </c>
      <c r="H95" s="113">
        <f t="shared" si="5"/>
        <v>1192813.9735168228</v>
      </c>
      <c r="J95" s="63"/>
      <c r="L95" s="40"/>
    </row>
    <row r="96" spans="1:12" x14ac:dyDescent="0.35">
      <c r="A96" s="34">
        <v>245</v>
      </c>
      <c r="B96" s="34" t="s">
        <v>140</v>
      </c>
      <c r="C96" s="35">
        <f>Bestämningsfaktor_kommunvis!C88</f>
        <v>32</v>
      </c>
      <c r="D96" s="61">
        <v>-2601</v>
      </c>
      <c r="E96" s="61">
        <v>-2664</v>
      </c>
      <c r="F96" s="61">
        <f t="shared" si="6"/>
        <v>2632.5</v>
      </c>
      <c r="G96" s="38">
        <f t="shared" si="4"/>
        <v>6.0989383329568556E-3</v>
      </c>
      <c r="H96" s="113">
        <f t="shared" si="5"/>
        <v>2793667.9584368649</v>
      </c>
      <c r="J96" s="63"/>
      <c r="L96" s="40"/>
    </row>
    <row r="97" spans="1:12" x14ac:dyDescent="0.35">
      <c r="A97" s="34">
        <v>249</v>
      </c>
      <c r="B97" s="34" t="s">
        <v>141</v>
      </c>
      <c r="C97" s="35">
        <f>Bestämningsfaktor_kommunvis!C89</f>
        <v>13</v>
      </c>
      <c r="D97" s="61">
        <v>-788</v>
      </c>
      <c r="E97" s="61">
        <v>-814</v>
      </c>
      <c r="F97" s="61">
        <f t="shared" si="6"/>
        <v>801</v>
      </c>
      <c r="G97" s="38">
        <f t="shared" si="4"/>
        <v>1.8557453389167868E-3</v>
      </c>
      <c r="H97" s="113">
        <f t="shared" si="5"/>
        <v>850039.13949019124</v>
      </c>
      <c r="J97" s="63"/>
      <c r="L97" s="40"/>
    </row>
    <row r="98" spans="1:12" x14ac:dyDescent="0.35">
      <c r="A98" s="231">
        <v>250</v>
      </c>
      <c r="B98" s="34" t="s">
        <v>142</v>
      </c>
      <c r="C98" s="35">
        <f>Bestämningsfaktor_kommunvis!C90</f>
        <v>6</v>
      </c>
      <c r="D98" s="61">
        <v>-142</v>
      </c>
      <c r="E98" s="61">
        <v>-148</v>
      </c>
      <c r="F98" s="61">
        <f t="shared" si="6"/>
        <v>145</v>
      </c>
      <c r="G98" s="38">
        <f t="shared" si="4"/>
        <v>3.359339252720775E-4</v>
      </c>
      <c r="H98" s="113">
        <f t="shared" si="5"/>
        <v>153877.24747325559</v>
      </c>
      <c r="J98" s="63"/>
      <c r="L98" s="40"/>
    </row>
    <row r="99" spans="1:12" x14ac:dyDescent="0.35">
      <c r="A99" s="34">
        <v>256</v>
      </c>
      <c r="B99" s="34" t="s">
        <v>143</v>
      </c>
      <c r="C99" s="35">
        <f>Bestämningsfaktor_kommunvis!C91</f>
        <v>13</v>
      </c>
      <c r="D99" s="61">
        <v>-137</v>
      </c>
      <c r="E99" s="61">
        <v>-143</v>
      </c>
      <c r="F99" s="61">
        <f t="shared" si="6"/>
        <v>140</v>
      </c>
      <c r="G99" s="38">
        <f t="shared" si="4"/>
        <v>3.2434999681441967E-4</v>
      </c>
      <c r="H99" s="113">
        <f t="shared" si="5"/>
        <v>148571.13549141921</v>
      </c>
      <c r="J99" s="63"/>
      <c r="L99" s="40"/>
    </row>
    <row r="100" spans="1:12" x14ac:dyDescent="0.35">
      <c r="A100" s="34">
        <v>257</v>
      </c>
      <c r="B100" s="34" t="s">
        <v>144</v>
      </c>
      <c r="C100" s="35">
        <f>Bestämningsfaktor_kommunvis!C92</f>
        <v>33</v>
      </c>
      <c r="D100" s="61">
        <v>-2602</v>
      </c>
      <c r="E100" s="61">
        <v>-2673</v>
      </c>
      <c r="F100" s="61">
        <f t="shared" si="6"/>
        <v>2637.5</v>
      </c>
      <c r="G100" s="38">
        <f t="shared" si="4"/>
        <v>6.1105222614145135E-3</v>
      </c>
      <c r="H100" s="113">
        <f t="shared" si="5"/>
        <v>2798974.070418701</v>
      </c>
      <c r="J100" s="63"/>
      <c r="L100" s="40"/>
    </row>
    <row r="101" spans="1:12" x14ac:dyDescent="0.35">
      <c r="A101" s="34">
        <v>260</v>
      </c>
      <c r="B101" s="34" t="s">
        <v>145</v>
      </c>
      <c r="C101" s="35">
        <f>Bestämningsfaktor_kommunvis!C93</f>
        <v>12</v>
      </c>
      <c r="D101" s="61">
        <v>-799</v>
      </c>
      <c r="E101" s="61">
        <v>-811</v>
      </c>
      <c r="F101" s="61">
        <f t="shared" si="6"/>
        <v>805</v>
      </c>
      <c r="G101" s="38">
        <f t="shared" si="4"/>
        <v>1.8650124816829131E-3</v>
      </c>
      <c r="H101" s="113">
        <f t="shared" si="5"/>
        <v>854284.02907566039</v>
      </c>
      <c r="J101" s="63"/>
      <c r="L101" s="40"/>
    </row>
    <row r="102" spans="1:12" x14ac:dyDescent="0.35">
      <c r="A102" s="34">
        <v>261</v>
      </c>
      <c r="B102" s="34" t="s">
        <v>146</v>
      </c>
      <c r="C102" s="35">
        <f>Bestämningsfaktor_kommunvis!C94</f>
        <v>19</v>
      </c>
      <c r="D102" s="61">
        <v>-819</v>
      </c>
      <c r="E102" s="61">
        <v>-890</v>
      </c>
      <c r="F102" s="61">
        <f t="shared" si="6"/>
        <v>854.5</v>
      </c>
      <c r="G102" s="38">
        <f t="shared" si="4"/>
        <v>1.979693373413726E-3</v>
      </c>
      <c r="H102" s="113">
        <f t="shared" si="5"/>
        <v>906814.53769584082</v>
      </c>
      <c r="J102" s="63"/>
      <c r="L102" s="40"/>
    </row>
    <row r="103" spans="1:12" x14ac:dyDescent="0.35">
      <c r="A103" s="34">
        <v>263</v>
      </c>
      <c r="B103" s="34" t="s">
        <v>147</v>
      </c>
      <c r="C103" s="35">
        <f>Bestämningsfaktor_kommunvis!C95</f>
        <v>11</v>
      </c>
      <c r="D103" s="61">
        <v>-712</v>
      </c>
      <c r="E103" s="61">
        <v>-857</v>
      </c>
      <c r="F103" s="61">
        <f t="shared" si="6"/>
        <v>784.5</v>
      </c>
      <c r="G103" s="38">
        <f t="shared" si="4"/>
        <v>1.817518375006516E-3</v>
      </c>
      <c r="H103" s="113">
        <f t="shared" si="5"/>
        <v>832528.96995013126</v>
      </c>
      <c r="J103" s="63"/>
      <c r="L103" s="40"/>
    </row>
    <row r="104" spans="1:12" x14ac:dyDescent="0.35">
      <c r="A104" s="34">
        <v>265</v>
      </c>
      <c r="B104" s="34" t="s">
        <v>148</v>
      </c>
      <c r="C104" s="35">
        <f>Bestämningsfaktor_kommunvis!C96</f>
        <v>13</v>
      </c>
      <c r="D104" s="61">
        <v>-103</v>
      </c>
      <c r="E104" s="61">
        <v>-89</v>
      </c>
      <c r="F104" s="61">
        <f t="shared" si="6"/>
        <v>96</v>
      </c>
      <c r="G104" s="38">
        <f t="shared" si="4"/>
        <v>2.2241142638703063E-4</v>
      </c>
      <c r="H104" s="113">
        <f t="shared" si="5"/>
        <v>101877.35005125888</v>
      </c>
      <c r="J104" s="63"/>
      <c r="L104" s="40"/>
    </row>
    <row r="105" spans="1:12" x14ac:dyDescent="0.35">
      <c r="A105" s="34">
        <v>271</v>
      </c>
      <c r="B105" s="34" t="s">
        <v>149</v>
      </c>
      <c r="C105" s="35">
        <f>Bestämningsfaktor_kommunvis!C97</f>
        <v>4</v>
      </c>
      <c r="D105" s="61">
        <v>-634</v>
      </c>
      <c r="E105" s="61">
        <v>-684</v>
      </c>
      <c r="F105" s="61">
        <f t="shared" si="6"/>
        <v>659</v>
      </c>
      <c r="G105" s="38">
        <f t="shared" si="4"/>
        <v>1.5267617707193041E-3</v>
      </c>
      <c r="H105" s="113">
        <f t="shared" si="5"/>
        <v>699345.55920603755</v>
      </c>
      <c r="J105" s="63"/>
      <c r="L105" s="40"/>
    </row>
    <row r="106" spans="1:12" x14ac:dyDescent="0.35">
      <c r="A106" s="34">
        <v>272</v>
      </c>
      <c r="B106" s="34" t="s">
        <v>150</v>
      </c>
      <c r="C106" s="35">
        <f>Bestämningsfaktor_kommunvis!C98</f>
        <v>16</v>
      </c>
      <c r="D106" s="61">
        <v>-3851</v>
      </c>
      <c r="E106" s="61">
        <v>-4078</v>
      </c>
      <c r="F106" s="61">
        <f t="shared" si="6"/>
        <v>3964.5</v>
      </c>
      <c r="G106" s="38">
        <f t="shared" si="4"/>
        <v>9.184896874076906E-3</v>
      </c>
      <c r="H106" s="113">
        <f t="shared" si="5"/>
        <v>4207216.1903980821</v>
      </c>
      <c r="J106" s="63"/>
      <c r="L106" s="40"/>
    </row>
    <row r="107" spans="1:12" x14ac:dyDescent="0.35">
      <c r="A107" s="34">
        <v>273</v>
      </c>
      <c r="B107" s="34" t="s">
        <v>151</v>
      </c>
      <c r="C107" s="35">
        <f>Bestämningsfaktor_kommunvis!C99</f>
        <v>19</v>
      </c>
      <c r="D107" s="61">
        <v>-477</v>
      </c>
      <c r="E107" s="61">
        <v>-483</v>
      </c>
      <c r="F107" s="61">
        <f t="shared" si="6"/>
        <v>480</v>
      </c>
      <c r="G107" s="38">
        <f t="shared" si="4"/>
        <v>1.1120571319351532E-3</v>
      </c>
      <c r="H107" s="113">
        <f t="shared" si="5"/>
        <v>509386.75025629444</v>
      </c>
      <c r="J107" s="63"/>
      <c r="L107" s="40"/>
    </row>
    <row r="108" spans="1:12" x14ac:dyDescent="0.35">
      <c r="A108" s="34">
        <v>275</v>
      </c>
      <c r="B108" s="34" t="s">
        <v>152</v>
      </c>
      <c r="C108" s="35">
        <f>Bestämningsfaktor_kommunvis!C100</f>
        <v>13</v>
      </c>
      <c r="D108" s="61">
        <v>-254</v>
      </c>
      <c r="E108" s="61">
        <v>-188</v>
      </c>
      <c r="F108" s="61">
        <f t="shared" si="6"/>
        <v>221</v>
      </c>
      <c r="G108" s="38">
        <f t="shared" si="4"/>
        <v>5.1200963782847679E-4</v>
      </c>
      <c r="H108" s="113">
        <f t="shared" si="5"/>
        <v>234530.1495971689</v>
      </c>
      <c r="J108" s="63"/>
      <c r="L108" s="40"/>
    </row>
    <row r="109" spans="1:12" x14ac:dyDescent="0.35">
      <c r="A109" s="34">
        <v>276</v>
      </c>
      <c r="B109" s="34" t="s">
        <v>153</v>
      </c>
      <c r="C109" s="35">
        <f>Bestämningsfaktor_kommunvis!C101</f>
        <v>12</v>
      </c>
      <c r="D109" s="61">
        <v>-1077</v>
      </c>
      <c r="E109" s="61">
        <v>-1116</v>
      </c>
      <c r="F109" s="61">
        <f t="shared" si="6"/>
        <v>1096.5</v>
      </c>
      <c r="G109" s="38">
        <f t="shared" si="4"/>
        <v>2.5403555107643655E-3</v>
      </c>
      <c r="H109" s="113">
        <f t="shared" si="5"/>
        <v>1163630.3576167226</v>
      </c>
      <c r="J109" s="63"/>
      <c r="L109" s="40"/>
    </row>
    <row r="110" spans="1:12" x14ac:dyDescent="0.35">
      <c r="A110" s="34">
        <v>280</v>
      </c>
      <c r="B110" s="34" t="s">
        <v>154</v>
      </c>
      <c r="C110" s="35">
        <f>Bestämningsfaktor_kommunvis!C102</f>
        <v>15</v>
      </c>
      <c r="D110" s="61">
        <v>-170</v>
      </c>
      <c r="E110" s="61">
        <v>-159</v>
      </c>
      <c r="F110" s="61">
        <f t="shared" si="6"/>
        <v>164.5</v>
      </c>
      <c r="G110" s="38">
        <f t="shared" si="4"/>
        <v>3.8111124625694312E-4</v>
      </c>
      <c r="H110" s="113">
        <f t="shared" si="5"/>
        <v>174571.08420241758</v>
      </c>
      <c r="J110" s="63"/>
      <c r="L110" s="40"/>
    </row>
    <row r="111" spans="1:12" x14ac:dyDescent="0.35">
      <c r="A111" s="34">
        <v>284</v>
      </c>
      <c r="B111" s="34" t="s">
        <v>155</v>
      </c>
      <c r="C111" s="35">
        <f>Bestämningsfaktor_kommunvis!C103</f>
        <v>2</v>
      </c>
      <c r="D111" s="61">
        <v>-168</v>
      </c>
      <c r="E111" s="61">
        <v>-168</v>
      </c>
      <c r="F111" s="61">
        <f t="shared" si="6"/>
        <v>168</v>
      </c>
      <c r="G111" s="38">
        <f t="shared" si="4"/>
        <v>3.8921999617730363E-4</v>
      </c>
      <c r="H111" s="113">
        <f t="shared" si="5"/>
        <v>178285.36258970306</v>
      </c>
      <c r="J111" s="63"/>
      <c r="L111" s="40"/>
    </row>
    <row r="112" spans="1:12" x14ac:dyDescent="0.35">
      <c r="A112" s="34">
        <v>285</v>
      </c>
      <c r="B112" s="34" t="s">
        <v>156</v>
      </c>
      <c r="C112" s="35">
        <f>Bestämningsfaktor_kommunvis!C104</f>
        <v>8</v>
      </c>
      <c r="D112" s="61">
        <v>-5085</v>
      </c>
      <c r="E112" s="61">
        <v>-5425</v>
      </c>
      <c r="F112" s="61">
        <f t="shared" si="6"/>
        <v>5255</v>
      </c>
      <c r="G112" s="38">
        <f t="shared" si="4"/>
        <v>1.2174708808998395E-2</v>
      </c>
      <c r="H112" s="113">
        <f t="shared" si="5"/>
        <v>5576723.6929100566</v>
      </c>
      <c r="J112" s="63"/>
      <c r="L112" s="40"/>
    </row>
    <row r="113" spans="1:12" x14ac:dyDescent="0.35">
      <c r="A113" s="34">
        <v>286</v>
      </c>
      <c r="B113" s="34" t="s">
        <v>157</v>
      </c>
      <c r="C113" s="35">
        <f>Bestämningsfaktor_kommunvis!C105</f>
        <v>8</v>
      </c>
      <c r="D113" s="61">
        <v>-7500</v>
      </c>
      <c r="E113" s="61">
        <v>-7565</v>
      </c>
      <c r="F113" s="61">
        <f t="shared" si="6"/>
        <v>7532.5</v>
      </c>
      <c r="G113" s="38">
        <f t="shared" si="4"/>
        <v>1.7451188221461543E-2</v>
      </c>
      <c r="H113" s="113">
        <f t="shared" si="5"/>
        <v>7993657.7006365359</v>
      </c>
      <c r="J113" s="63"/>
      <c r="L113" s="40"/>
    </row>
    <row r="114" spans="1:12" x14ac:dyDescent="0.35">
      <c r="A114" s="34">
        <v>287</v>
      </c>
      <c r="B114" s="34" t="s">
        <v>158</v>
      </c>
      <c r="C114" s="35">
        <f>Bestämningsfaktor_kommunvis!C106</f>
        <v>15</v>
      </c>
      <c r="D114" s="61">
        <v>-499</v>
      </c>
      <c r="E114" s="61">
        <v>-431</v>
      </c>
      <c r="F114" s="61">
        <f t="shared" si="6"/>
        <v>465</v>
      </c>
      <c r="G114" s="38">
        <f t="shared" si="4"/>
        <v>1.0773053465621795E-3</v>
      </c>
      <c r="H114" s="113">
        <f t="shared" si="5"/>
        <v>493468.41431078519</v>
      </c>
      <c r="J114" s="63"/>
      <c r="L114" s="40"/>
    </row>
    <row r="115" spans="1:12" x14ac:dyDescent="0.35">
      <c r="A115" s="34">
        <v>288</v>
      </c>
      <c r="B115" s="34" t="s">
        <v>159</v>
      </c>
      <c r="C115" s="35">
        <f>Bestämningsfaktor_kommunvis!C107</f>
        <v>15</v>
      </c>
      <c r="D115" s="61">
        <v>-639</v>
      </c>
      <c r="E115" s="61">
        <v>-700</v>
      </c>
      <c r="F115" s="61">
        <f t="shared" si="6"/>
        <v>669.5</v>
      </c>
      <c r="G115" s="38">
        <f t="shared" si="4"/>
        <v>1.5510880204803856E-3</v>
      </c>
      <c r="H115" s="113">
        <f t="shared" si="5"/>
        <v>710488.39436789404</v>
      </c>
      <c r="J115" s="63"/>
      <c r="L115" s="40"/>
    </row>
    <row r="116" spans="1:12" x14ac:dyDescent="0.35">
      <c r="A116" s="34">
        <v>290</v>
      </c>
      <c r="B116" s="34" t="s">
        <v>160</v>
      </c>
      <c r="C116" s="35">
        <f>Bestämningsfaktor_kommunvis!C108</f>
        <v>18</v>
      </c>
      <c r="D116" s="61">
        <v>-766</v>
      </c>
      <c r="E116" s="61">
        <v>-786</v>
      </c>
      <c r="F116" s="61">
        <f t="shared" si="6"/>
        <v>776</v>
      </c>
      <c r="G116" s="38">
        <f t="shared" si="4"/>
        <v>1.7978256966284976E-3</v>
      </c>
      <c r="H116" s="113">
        <f t="shared" si="5"/>
        <v>823508.57958100934</v>
      </c>
      <c r="J116" s="63"/>
      <c r="L116" s="40"/>
    </row>
    <row r="117" spans="1:12" x14ac:dyDescent="0.35">
      <c r="A117" s="34">
        <v>291</v>
      </c>
      <c r="B117" s="34" t="s">
        <v>161</v>
      </c>
      <c r="C117" s="35">
        <f>Bestämningsfaktor_kommunvis!C109</f>
        <v>6</v>
      </c>
      <c r="D117" s="61">
        <v>-210</v>
      </c>
      <c r="E117" s="61">
        <v>-210</v>
      </c>
      <c r="F117" s="61">
        <f t="shared" si="6"/>
        <v>210</v>
      </c>
      <c r="G117" s="38">
        <f t="shared" si="4"/>
        <v>4.8652499522162951E-4</v>
      </c>
      <c r="H117" s="113">
        <f t="shared" si="5"/>
        <v>222856.70323712879</v>
      </c>
      <c r="J117" s="63"/>
      <c r="L117" s="40"/>
    </row>
    <row r="118" spans="1:12" x14ac:dyDescent="0.35">
      <c r="A118" s="34">
        <v>297</v>
      </c>
      <c r="B118" s="34" t="s">
        <v>162</v>
      </c>
      <c r="C118" s="35">
        <f>Bestämningsfaktor_kommunvis!C110</f>
        <v>11</v>
      </c>
      <c r="D118" s="61">
        <v>-6647</v>
      </c>
      <c r="E118" s="61">
        <v>-7156</v>
      </c>
      <c r="F118" s="61">
        <f t="shared" si="6"/>
        <v>6901.5</v>
      </c>
      <c r="G118" s="38">
        <f t="shared" si="4"/>
        <v>1.5989296450105123E-2</v>
      </c>
      <c r="H118" s="113">
        <f t="shared" si="5"/>
        <v>7324026.3685287824</v>
      </c>
      <c r="J118" s="63"/>
      <c r="L118" s="40"/>
    </row>
    <row r="119" spans="1:12" x14ac:dyDescent="0.35">
      <c r="A119" s="34">
        <v>300</v>
      </c>
      <c r="B119" s="34" t="s">
        <v>163</v>
      </c>
      <c r="C119" s="35">
        <f>Bestämningsfaktor_kommunvis!C111</f>
        <v>14</v>
      </c>
      <c r="D119" s="61">
        <v>-330</v>
      </c>
      <c r="E119" s="61">
        <v>-333</v>
      </c>
      <c r="F119" s="61">
        <f t="shared" si="6"/>
        <v>331.5</v>
      </c>
      <c r="G119" s="38">
        <f t="shared" si="4"/>
        <v>7.6801445674271518E-4</v>
      </c>
      <c r="H119" s="113">
        <f t="shared" si="5"/>
        <v>351795.22439575335</v>
      </c>
      <c r="J119" s="63"/>
      <c r="L119" s="40"/>
    </row>
    <row r="120" spans="1:12" x14ac:dyDescent="0.35">
      <c r="A120" s="34">
        <v>301</v>
      </c>
      <c r="B120" s="34" t="s">
        <v>164</v>
      </c>
      <c r="C120" s="35">
        <f>Bestämningsfaktor_kommunvis!C112</f>
        <v>14</v>
      </c>
      <c r="D120" s="61">
        <v>-1951</v>
      </c>
      <c r="E120" s="61">
        <v>-1966</v>
      </c>
      <c r="F120" s="61">
        <f t="shared" si="6"/>
        <v>1958.5</v>
      </c>
      <c r="G120" s="38">
        <f t="shared" si="4"/>
        <v>4.5374247768645778E-3</v>
      </c>
      <c r="H120" s="113">
        <f t="shared" si="5"/>
        <v>2078404.0632853177</v>
      </c>
      <c r="J120" s="63"/>
      <c r="L120" s="40"/>
    </row>
    <row r="121" spans="1:12" x14ac:dyDescent="0.35">
      <c r="A121" s="34">
        <v>304</v>
      </c>
      <c r="B121" s="34" t="s">
        <v>165</v>
      </c>
      <c r="C121" s="35">
        <f>Bestämningsfaktor_kommunvis!C113</f>
        <v>2</v>
      </c>
      <c r="D121" s="61">
        <v>-65</v>
      </c>
      <c r="E121" s="61">
        <v>-73</v>
      </c>
      <c r="F121" s="61">
        <f t="shared" si="6"/>
        <v>69</v>
      </c>
      <c r="G121" s="38">
        <f t="shared" si="4"/>
        <v>1.5985821271567827E-4</v>
      </c>
      <c r="H121" s="113">
        <f t="shared" si="5"/>
        <v>73224.345349342329</v>
      </c>
      <c r="J121" s="63"/>
      <c r="L121" s="40"/>
    </row>
    <row r="122" spans="1:12" x14ac:dyDescent="0.35">
      <c r="A122" s="34">
        <v>305</v>
      </c>
      <c r="B122" s="34" t="s">
        <v>166</v>
      </c>
      <c r="C122" s="35">
        <f>Bestämningsfaktor_kommunvis!C114</f>
        <v>17</v>
      </c>
      <c r="D122" s="61">
        <v>-1041</v>
      </c>
      <c r="E122" s="61">
        <v>-1037</v>
      </c>
      <c r="F122" s="61">
        <f t="shared" si="6"/>
        <v>1039</v>
      </c>
      <c r="G122" s="38">
        <f t="shared" si="4"/>
        <v>2.4071403335013002E-3</v>
      </c>
      <c r="H122" s="113">
        <f t="shared" si="5"/>
        <v>1102610.0698256039</v>
      </c>
      <c r="J122" s="63"/>
      <c r="L122" s="40"/>
    </row>
    <row r="123" spans="1:12" x14ac:dyDescent="0.35">
      <c r="A123" s="34">
        <v>309</v>
      </c>
      <c r="B123" s="34" t="s">
        <v>167</v>
      </c>
      <c r="C123" s="35">
        <f>Bestämningsfaktor_kommunvis!C115</f>
        <v>12</v>
      </c>
      <c r="D123" s="61">
        <v>-548</v>
      </c>
      <c r="E123" s="61">
        <v>-527</v>
      </c>
      <c r="F123" s="61">
        <f t="shared" si="6"/>
        <v>537.5</v>
      </c>
      <c r="G123" s="38">
        <f t="shared" si="4"/>
        <v>1.2452723091982184E-3</v>
      </c>
      <c r="H123" s="113">
        <f t="shared" si="5"/>
        <v>570407.03804741299</v>
      </c>
      <c r="J123" s="63"/>
      <c r="L123" s="40"/>
    </row>
    <row r="124" spans="1:12" x14ac:dyDescent="0.35">
      <c r="A124" s="34">
        <v>312</v>
      </c>
      <c r="B124" s="34" t="s">
        <v>168</v>
      </c>
      <c r="C124" s="35">
        <f>Bestämningsfaktor_kommunvis!C116</f>
        <v>13</v>
      </c>
      <c r="D124" s="61">
        <v>-110</v>
      </c>
      <c r="E124" s="61">
        <v>-113</v>
      </c>
      <c r="F124" s="61">
        <f t="shared" si="6"/>
        <v>111.5</v>
      </c>
      <c r="G124" s="38">
        <f t="shared" si="4"/>
        <v>2.5832160460576996E-4</v>
      </c>
      <c r="H124" s="113">
        <f t="shared" si="5"/>
        <v>118326.29719495172</v>
      </c>
      <c r="J124" s="63"/>
      <c r="L124" s="40"/>
    </row>
    <row r="125" spans="1:12" x14ac:dyDescent="0.35">
      <c r="A125" s="34">
        <v>316</v>
      </c>
      <c r="B125" s="34" t="s">
        <v>169</v>
      </c>
      <c r="C125" s="35">
        <f>Bestämningsfaktor_kommunvis!C117</f>
        <v>7</v>
      </c>
      <c r="D125" s="61">
        <v>-434</v>
      </c>
      <c r="E125" s="61">
        <v>-431</v>
      </c>
      <c r="F125" s="61">
        <f t="shared" si="6"/>
        <v>432.5</v>
      </c>
      <c r="G125" s="38">
        <f t="shared" si="4"/>
        <v>1.0020098115874037E-3</v>
      </c>
      <c r="H125" s="113">
        <f t="shared" si="5"/>
        <v>458978.68642884865</v>
      </c>
      <c r="J125" s="63"/>
      <c r="L125" s="40"/>
    </row>
    <row r="126" spans="1:12" x14ac:dyDescent="0.35">
      <c r="A126" s="34">
        <v>317</v>
      </c>
      <c r="B126" s="34" t="s">
        <v>170</v>
      </c>
      <c r="C126" s="35">
        <f>Bestämningsfaktor_kommunvis!C118</f>
        <v>17</v>
      </c>
      <c r="D126" s="61">
        <v>-225</v>
      </c>
      <c r="E126" s="61">
        <v>-236</v>
      </c>
      <c r="F126" s="61">
        <f t="shared" si="6"/>
        <v>230.5</v>
      </c>
      <c r="G126" s="38">
        <f t="shared" si="4"/>
        <v>5.3401910189802664E-4</v>
      </c>
      <c r="H126" s="113">
        <f t="shared" si="5"/>
        <v>244611.76236265802</v>
      </c>
      <c r="J126" s="63"/>
      <c r="L126" s="40"/>
    </row>
    <row r="127" spans="1:12" x14ac:dyDescent="0.35">
      <c r="A127" s="34">
        <v>320</v>
      </c>
      <c r="B127" s="34" t="s">
        <v>171</v>
      </c>
      <c r="C127" s="35">
        <f>Bestämningsfaktor_kommunvis!C119</f>
        <v>19</v>
      </c>
      <c r="D127" s="61">
        <v>-767</v>
      </c>
      <c r="E127" s="61">
        <v>-788</v>
      </c>
      <c r="F127" s="61">
        <f t="shared" si="6"/>
        <v>777.5</v>
      </c>
      <c r="G127" s="38">
        <f t="shared" si="4"/>
        <v>1.8013008751657949E-3</v>
      </c>
      <c r="H127" s="113">
        <f t="shared" si="5"/>
        <v>825100.41317556018</v>
      </c>
      <c r="J127" s="63"/>
      <c r="L127" s="40"/>
    </row>
    <row r="128" spans="1:12" x14ac:dyDescent="0.35">
      <c r="A128" s="34">
        <v>322</v>
      </c>
      <c r="B128" s="34" t="s">
        <v>172</v>
      </c>
      <c r="C128" s="35">
        <f>Bestämningsfaktor_kommunvis!C120</f>
        <v>2</v>
      </c>
      <c r="D128" s="61">
        <v>-496</v>
      </c>
      <c r="E128" s="61">
        <v>-504</v>
      </c>
      <c r="F128" s="61">
        <f t="shared" si="6"/>
        <v>500</v>
      </c>
      <c r="G128" s="38">
        <f t="shared" si="4"/>
        <v>1.1583928457657845E-3</v>
      </c>
      <c r="H128" s="113">
        <f t="shared" si="5"/>
        <v>530611.19818364002</v>
      </c>
      <c r="J128" s="63"/>
      <c r="L128" s="40"/>
    </row>
    <row r="129" spans="1:12" x14ac:dyDescent="0.35">
      <c r="A129" s="34">
        <v>398</v>
      </c>
      <c r="B129" s="34" t="s">
        <v>173</v>
      </c>
      <c r="C129" s="35">
        <f>Bestämningsfaktor_kommunvis!C121</f>
        <v>7</v>
      </c>
      <c r="D129" s="61">
        <v>-10336</v>
      </c>
      <c r="E129" s="61">
        <v>-11558</v>
      </c>
      <c r="F129" s="61">
        <f t="shared" si="6"/>
        <v>10947</v>
      </c>
      <c r="G129" s="38">
        <f t="shared" si="4"/>
        <v>2.5361852965196087E-2</v>
      </c>
      <c r="H129" s="113">
        <f t="shared" si="5"/>
        <v>11617201.573032614</v>
      </c>
      <c r="J129" s="63"/>
      <c r="L129" s="40"/>
    </row>
    <row r="130" spans="1:12" x14ac:dyDescent="0.35">
      <c r="A130" s="34">
        <v>399</v>
      </c>
      <c r="B130" s="34" t="s">
        <v>174</v>
      </c>
      <c r="C130" s="35">
        <f>Bestämningsfaktor_kommunvis!C122</f>
        <v>15</v>
      </c>
      <c r="D130" s="61">
        <v>-611</v>
      </c>
      <c r="E130" s="61">
        <v>-581</v>
      </c>
      <c r="F130" s="61">
        <f t="shared" si="6"/>
        <v>596</v>
      </c>
      <c r="G130" s="38">
        <f t="shared" si="4"/>
        <v>1.3808042721528153E-3</v>
      </c>
      <c r="H130" s="113">
        <f t="shared" si="5"/>
        <v>632488.54823489895</v>
      </c>
      <c r="J130" s="63"/>
      <c r="L130" s="40"/>
    </row>
    <row r="131" spans="1:12" x14ac:dyDescent="0.35">
      <c r="A131" s="34">
        <v>400</v>
      </c>
      <c r="B131" s="34" t="s">
        <v>175</v>
      </c>
      <c r="C131" s="35">
        <f>Bestämningsfaktor_kommunvis!C123</f>
        <v>2</v>
      </c>
      <c r="D131" s="61">
        <v>-573</v>
      </c>
      <c r="E131" s="61">
        <v>-737</v>
      </c>
      <c r="F131" s="61">
        <f t="shared" si="6"/>
        <v>655</v>
      </c>
      <c r="G131" s="38">
        <f t="shared" si="4"/>
        <v>1.5174946279531778E-3</v>
      </c>
      <c r="H131" s="113">
        <f t="shared" si="5"/>
        <v>695100.6696205684</v>
      </c>
      <c r="J131" s="63"/>
      <c r="L131" s="40"/>
    </row>
    <row r="132" spans="1:12" x14ac:dyDescent="0.35">
      <c r="A132" s="34">
        <v>402</v>
      </c>
      <c r="B132" s="34" t="s">
        <v>176</v>
      </c>
      <c r="C132" s="35">
        <f>Bestämningsfaktor_kommunvis!C124</f>
        <v>11</v>
      </c>
      <c r="D132" s="61">
        <v>-693</v>
      </c>
      <c r="E132" s="61">
        <v>-712</v>
      </c>
      <c r="F132" s="61">
        <f t="shared" si="6"/>
        <v>702.5</v>
      </c>
      <c r="G132" s="38">
        <f t="shared" si="4"/>
        <v>1.6275419483009273E-3</v>
      </c>
      <c r="H132" s="113">
        <f t="shared" si="5"/>
        <v>745508.73344801425</v>
      </c>
      <c r="J132" s="63"/>
      <c r="L132" s="40"/>
    </row>
    <row r="133" spans="1:12" x14ac:dyDescent="0.35">
      <c r="A133" s="34">
        <v>403</v>
      </c>
      <c r="B133" s="34" t="s">
        <v>177</v>
      </c>
      <c r="C133" s="35">
        <f>Bestämningsfaktor_kommunvis!C125</f>
        <v>14</v>
      </c>
      <c r="D133" s="61">
        <v>-284</v>
      </c>
      <c r="E133" s="61">
        <v>-295</v>
      </c>
      <c r="F133" s="61">
        <f t="shared" si="6"/>
        <v>289.5</v>
      </c>
      <c r="G133" s="38">
        <f t="shared" si="4"/>
        <v>6.707094576983893E-4</v>
      </c>
      <c r="H133" s="113">
        <f t="shared" si="5"/>
        <v>307223.88374832761</v>
      </c>
      <c r="J133" s="63"/>
      <c r="L133" s="40"/>
    </row>
    <row r="134" spans="1:12" x14ac:dyDescent="0.35">
      <c r="A134" s="34">
        <v>405</v>
      </c>
      <c r="B134" s="34" t="s">
        <v>178</v>
      </c>
      <c r="C134" s="35">
        <f>Bestämningsfaktor_kommunvis!C126</f>
        <v>9</v>
      </c>
      <c r="D134" s="61">
        <v>-7432</v>
      </c>
      <c r="E134" s="61">
        <v>-8349</v>
      </c>
      <c r="F134" s="61">
        <f t="shared" si="6"/>
        <v>7890.5</v>
      </c>
      <c r="G134" s="38">
        <f t="shared" si="4"/>
        <v>1.8280597499029844E-2</v>
      </c>
      <c r="H134" s="113">
        <f t="shared" si="5"/>
        <v>8373575.3185360227</v>
      </c>
      <c r="J134" s="63"/>
      <c r="L134" s="40"/>
    </row>
    <row r="135" spans="1:12" x14ac:dyDescent="0.35">
      <c r="A135" s="34">
        <v>407</v>
      </c>
      <c r="B135" s="34" t="s">
        <v>179</v>
      </c>
      <c r="C135" s="35">
        <f>Bestämningsfaktor_kommunvis!C127</f>
        <v>34</v>
      </c>
      <c r="D135" s="61">
        <v>-260</v>
      </c>
      <c r="E135" s="61">
        <v>-271</v>
      </c>
      <c r="F135" s="61">
        <f t="shared" si="6"/>
        <v>265.5</v>
      </c>
      <c r="G135" s="38">
        <f t="shared" si="4"/>
        <v>6.1510660110163161E-4</v>
      </c>
      <c r="H135" s="113">
        <f t="shared" si="5"/>
        <v>281754.54623551283</v>
      </c>
      <c r="J135" s="63"/>
      <c r="L135" s="40"/>
    </row>
    <row r="136" spans="1:12" x14ac:dyDescent="0.35">
      <c r="A136" s="34">
        <v>408</v>
      </c>
      <c r="B136" s="34" t="s">
        <v>180</v>
      </c>
      <c r="C136" s="35">
        <f>Bestämningsfaktor_kommunvis!C128</f>
        <v>14</v>
      </c>
      <c r="D136" s="61">
        <v>-1431</v>
      </c>
      <c r="E136" s="61">
        <v>-1514</v>
      </c>
      <c r="F136" s="61">
        <f t="shared" si="6"/>
        <v>1472.5</v>
      </c>
      <c r="G136" s="38">
        <f t="shared" si="4"/>
        <v>3.4114669307802356E-3</v>
      </c>
      <c r="H136" s="113">
        <f t="shared" si="5"/>
        <v>1562649.97865082</v>
      </c>
      <c r="J136" s="63"/>
      <c r="L136" s="40"/>
    </row>
    <row r="137" spans="1:12" x14ac:dyDescent="0.35">
      <c r="A137" s="34">
        <v>410</v>
      </c>
      <c r="B137" s="34" t="s">
        <v>181</v>
      </c>
      <c r="C137" s="35">
        <f>Bestämningsfaktor_kommunvis!C129</f>
        <v>13</v>
      </c>
      <c r="D137" s="61">
        <v>-1525</v>
      </c>
      <c r="E137" s="61">
        <v>-1588</v>
      </c>
      <c r="F137" s="61">
        <f t="shared" si="6"/>
        <v>1556.5</v>
      </c>
      <c r="G137" s="38">
        <f t="shared" si="4"/>
        <v>3.6060769288688873E-3</v>
      </c>
      <c r="H137" s="113">
        <f t="shared" si="5"/>
        <v>1651792.6599456714</v>
      </c>
      <c r="J137" s="63"/>
      <c r="L137" s="40"/>
    </row>
    <row r="138" spans="1:12" x14ac:dyDescent="0.35">
      <c r="A138" s="34">
        <v>416</v>
      </c>
      <c r="B138" s="34" t="s">
        <v>182</v>
      </c>
      <c r="C138" s="35">
        <f>Bestämningsfaktor_kommunvis!C130</f>
        <v>9</v>
      </c>
      <c r="D138" s="61">
        <v>-279</v>
      </c>
      <c r="E138" s="61">
        <v>-337</v>
      </c>
      <c r="F138" s="61">
        <f t="shared" si="6"/>
        <v>308</v>
      </c>
      <c r="G138" s="38">
        <f t="shared" si="4"/>
        <v>7.135699929917233E-4</v>
      </c>
      <c r="H138" s="113">
        <f t="shared" si="5"/>
        <v>326856.49808112223</v>
      </c>
      <c r="J138" s="63"/>
      <c r="L138" s="40"/>
    </row>
    <row r="139" spans="1:12" x14ac:dyDescent="0.35">
      <c r="A139" s="34">
        <v>418</v>
      </c>
      <c r="B139" s="34" t="s">
        <v>183</v>
      </c>
      <c r="C139" s="35">
        <f>Bestämningsfaktor_kommunvis!C131</f>
        <v>6</v>
      </c>
      <c r="D139" s="61">
        <v>-1630</v>
      </c>
      <c r="E139" s="61">
        <v>-1731</v>
      </c>
      <c r="F139" s="61">
        <f t="shared" si="6"/>
        <v>1680.5</v>
      </c>
      <c r="G139" s="38">
        <f t="shared" si="4"/>
        <v>3.8933583546188017E-3</v>
      </c>
      <c r="H139" s="113">
        <f t="shared" si="5"/>
        <v>1783384.237095214</v>
      </c>
      <c r="J139" s="63"/>
      <c r="L139" s="40"/>
    </row>
    <row r="140" spans="1:12" x14ac:dyDescent="0.35">
      <c r="A140" s="34">
        <v>420</v>
      </c>
      <c r="B140" s="34" t="s">
        <v>184</v>
      </c>
      <c r="C140" s="35">
        <f>Bestämningsfaktor_kommunvis!C132</f>
        <v>11</v>
      </c>
      <c r="D140" s="61">
        <v>-575</v>
      </c>
      <c r="E140" s="61">
        <v>-588</v>
      </c>
      <c r="F140" s="61">
        <f t="shared" si="6"/>
        <v>581.5</v>
      </c>
      <c r="G140" s="38">
        <f t="shared" ref="G140:G203" si="7">F140/$F$12</f>
        <v>1.3472108796256075E-3</v>
      </c>
      <c r="H140" s="113">
        <f t="shared" si="5"/>
        <v>617100.82348757342</v>
      </c>
      <c r="J140" s="63"/>
      <c r="L140" s="40"/>
    </row>
    <row r="141" spans="1:12" x14ac:dyDescent="0.35">
      <c r="A141" s="34">
        <v>421</v>
      </c>
      <c r="B141" s="34" t="s">
        <v>185</v>
      </c>
      <c r="C141" s="35">
        <f>Bestämningsfaktor_kommunvis!C133</f>
        <v>16</v>
      </c>
      <c r="D141" s="61">
        <v>-139</v>
      </c>
      <c r="E141" s="61">
        <v>-141</v>
      </c>
      <c r="F141" s="61">
        <f t="shared" si="6"/>
        <v>140</v>
      </c>
      <c r="G141" s="38">
        <f t="shared" si="7"/>
        <v>3.2434999681441967E-4</v>
      </c>
      <c r="H141" s="113">
        <f t="shared" ref="H141:H204" si="8">(G141*$H$12)</f>
        <v>148571.13549141921</v>
      </c>
      <c r="J141" s="63"/>
      <c r="L141" s="40"/>
    </row>
    <row r="142" spans="1:12" x14ac:dyDescent="0.35">
      <c r="A142" s="34">
        <v>422</v>
      </c>
      <c r="B142" s="34" t="s">
        <v>186</v>
      </c>
      <c r="C142" s="35">
        <f>Bestämningsfaktor_kommunvis!C134</f>
        <v>12</v>
      </c>
      <c r="D142" s="61">
        <v>-1002</v>
      </c>
      <c r="E142" s="61">
        <v>-1011</v>
      </c>
      <c r="F142" s="61">
        <f t="shared" ref="F142:F205" si="9">-AVERAGE(D142:E142)</f>
        <v>1006.5</v>
      </c>
      <c r="G142" s="38">
        <f t="shared" si="7"/>
        <v>2.3318447985265244E-3</v>
      </c>
      <c r="H142" s="113">
        <f t="shared" si="8"/>
        <v>1068120.3419436675</v>
      </c>
      <c r="J142" s="63"/>
      <c r="L142" s="40"/>
    </row>
    <row r="143" spans="1:12" x14ac:dyDescent="0.35">
      <c r="A143" s="34">
        <v>423</v>
      </c>
      <c r="B143" s="34" t="s">
        <v>187</v>
      </c>
      <c r="C143" s="35">
        <f>Bestämningsfaktor_kommunvis!C135</f>
        <v>2</v>
      </c>
      <c r="D143" s="61">
        <v>-1392</v>
      </c>
      <c r="E143" s="61">
        <v>-1421</v>
      </c>
      <c r="F143" s="61">
        <f t="shared" si="9"/>
        <v>1406.5</v>
      </c>
      <c r="G143" s="38">
        <f t="shared" si="7"/>
        <v>3.2585590751391521E-3</v>
      </c>
      <c r="H143" s="113">
        <f t="shared" si="8"/>
        <v>1492609.3004905796</v>
      </c>
      <c r="J143" s="63"/>
      <c r="L143" s="40"/>
    </row>
    <row r="144" spans="1:12" x14ac:dyDescent="0.35">
      <c r="A144" s="34">
        <v>425</v>
      </c>
      <c r="B144" s="34" t="s">
        <v>188</v>
      </c>
      <c r="C144" s="35">
        <f>Bestämningsfaktor_kommunvis!C136</f>
        <v>17</v>
      </c>
      <c r="D144" s="61">
        <v>-625</v>
      </c>
      <c r="E144" s="61">
        <v>-635</v>
      </c>
      <c r="F144" s="61">
        <f t="shared" si="9"/>
        <v>630</v>
      </c>
      <c r="G144" s="38">
        <f t="shared" si="7"/>
        <v>1.4595749856648886E-3</v>
      </c>
      <c r="H144" s="113">
        <f t="shared" si="8"/>
        <v>668570.1097113865</v>
      </c>
      <c r="J144" s="63"/>
      <c r="L144" s="40"/>
    </row>
    <row r="145" spans="1:12" x14ac:dyDescent="0.35">
      <c r="A145" s="34">
        <v>426</v>
      </c>
      <c r="B145" s="34" t="s">
        <v>189</v>
      </c>
      <c r="C145" s="35">
        <f>Bestämningsfaktor_kommunvis!C137</f>
        <v>12</v>
      </c>
      <c r="D145" s="61">
        <v>-911</v>
      </c>
      <c r="E145" s="61">
        <v>-932</v>
      </c>
      <c r="F145" s="61">
        <f t="shared" si="9"/>
        <v>921.5</v>
      </c>
      <c r="G145" s="38">
        <f t="shared" si="7"/>
        <v>2.1349180147463408E-3</v>
      </c>
      <c r="H145" s="113">
        <f t="shared" si="8"/>
        <v>977916.43825244857</v>
      </c>
      <c r="J145" s="63"/>
      <c r="L145" s="40"/>
    </row>
    <row r="146" spans="1:12" x14ac:dyDescent="0.35">
      <c r="A146" s="34">
        <v>430</v>
      </c>
      <c r="B146" s="34" t="s">
        <v>190</v>
      </c>
      <c r="C146" s="35">
        <f>Bestämningsfaktor_kommunvis!C138</f>
        <v>2</v>
      </c>
      <c r="D146" s="61">
        <v>-1191</v>
      </c>
      <c r="E146" s="61">
        <v>-1172</v>
      </c>
      <c r="F146" s="61">
        <f t="shared" si="9"/>
        <v>1181.5</v>
      </c>
      <c r="G146" s="38">
        <f t="shared" si="7"/>
        <v>2.7372822945445491E-3</v>
      </c>
      <c r="H146" s="113">
        <f t="shared" si="8"/>
        <v>1253834.2613079415</v>
      </c>
      <c r="J146" s="63"/>
      <c r="L146" s="40"/>
    </row>
    <row r="147" spans="1:12" x14ac:dyDescent="0.35">
      <c r="A147" s="34">
        <v>433</v>
      </c>
      <c r="B147" s="34" t="s">
        <v>191</v>
      </c>
      <c r="C147" s="35">
        <f>Bestämningsfaktor_kommunvis!C139</f>
        <v>5</v>
      </c>
      <c r="D147" s="61">
        <v>-454</v>
      </c>
      <c r="E147" s="61">
        <v>-456</v>
      </c>
      <c r="F147" s="61">
        <f t="shared" si="9"/>
        <v>455</v>
      </c>
      <c r="G147" s="38">
        <f t="shared" si="7"/>
        <v>1.054137489646864E-3</v>
      </c>
      <c r="H147" s="113">
        <f t="shared" si="8"/>
        <v>482856.19034711242</v>
      </c>
      <c r="J147" s="63"/>
      <c r="L147" s="40"/>
    </row>
    <row r="148" spans="1:12" x14ac:dyDescent="0.35">
      <c r="A148" s="34">
        <v>434</v>
      </c>
      <c r="B148" s="34" t="s">
        <v>192</v>
      </c>
      <c r="C148" s="35">
        <f>Bestämningsfaktor_kommunvis!C140</f>
        <v>34</v>
      </c>
      <c r="D148" s="61">
        <v>-2013</v>
      </c>
      <c r="E148" s="61">
        <v>-2092</v>
      </c>
      <c r="F148" s="61">
        <f t="shared" si="9"/>
        <v>2052.5</v>
      </c>
      <c r="G148" s="38">
        <f t="shared" si="7"/>
        <v>4.7552026318685454E-3</v>
      </c>
      <c r="H148" s="113">
        <f t="shared" si="8"/>
        <v>2178158.968543842</v>
      </c>
      <c r="J148" s="63"/>
      <c r="L148" s="40"/>
    </row>
    <row r="149" spans="1:12" x14ac:dyDescent="0.35">
      <c r="A149" s="34">
        <v>435</v>
      </c>
      <c r="B149" s="34" t="s">
        <v>193</v>
      </c>
      <c r="C149" s="35">
        <f>Bestämningsfaktor_kommunvis!C141</f>
        <v>13</v>
      </c>
      <c r="D149" s="61">
        <v>-58</v>
      </c>
      <c r="E149" s="61">
        <v>-59</v>
      </c>
      <c r="F149" s="61">
        <f t="shared" si="9"/>
        <v>58.5</v>
      </c>
      <c r="G149" s="38">
        <f t="shared" si="7"/>
        <v>1.355319629545968E-4</v>
      </c>
      <c r="H149" s="113">
        <f t="shared" si="8"/>
        <v>62081.510187485888</v>
      </c>
      <c r="J149" s="63"/>
      <c r="L149" s="40"/>
    </row>
    <row r="150" spans="1:12" x14ac:dyDescent="0.35">
      <c r="A150" s="34">
        <v>436</v>
      </c>
      <c r="B150" s="34" t="s">
        <v>194</v>
      </c>
      <c r="C150" s="35">
        <f>Bestämningsfaktor_kommunvis!C142</f>
        <v>17</v>
      </c>
      <c r="D150" s="61">
        <v>-134</v>
      </c>
      <c r="E150" s="61">
        <v>-70</v>
      </c>
      <c r="F150" s="61">
        <f t="shared" si="9"/>
        <v>102</v>
      </c>
      <c r="G150" s="38">
        <f t="shared" si="7"/>
        <v>2.3631214053622005E-4</v>
      </c>
      <c r="H150" s="113">
        <f t="shared" si="8"/>
        <v>108244.68442946256</v>
      </c>
      <c r="J150" s="63"/>
      <c r="L150" s="40"/>
    </row>
    <row r="151" spans="1:12" x14ac:dyDescent="0.35">
      <c r="A151" s="34">
        <v>440</v>
      </c>
      <c r="B151" s="34" t="s">
        <v>195</v>
      </c>
      <c r="C151" s="35">
        <f>Bestämningsfaktor_kommunvis!C143</f>
        <v>15</v>
      </c>
      <c r="D151" s="61">
        <v>-309</v>
      </c>
      <c r="E151" s="61">
        <v>-354</v>
      </c>
      <c r="F151" s="61">
        <f t="shared" si="9"/>
        <v>331.5</v>
      </c>
      <c r="G151" s="38">
        <f t="shared" si="7"/>
        <v>7.6801445674271518E-4</v>
      </c>
      <c r="H151" s="113">
        <f t="shared" si="8"/>
        <v>351795.22439575335</v>
      </c>
      <c r="J151" s="63"/>
      <c r="L151" s="40"/>
    </row>
    <row r="152" spans="1:12" x14ac:dyDescent="0.35">
      <c r="A152" s="34">
        <v>441</v>
      </c>
      <c r="B152" s="34" t="s">
        <v>196</v>
      </c>
      <c r="C152" s="35">
        <f>Bestämningsfaktor_kommunvis!C144</f>
        <v>9</v>
      </c>
      <c r="D152" s="61">
        <v>-480</v>
      </c>
      <c r="E152" s="61">
        <v>-551</v>
      </c>
      <c r="F152" s="61">
        <f t="shared" si="9"/>
        <v>515.5</v>
      </c>
      <c r="G152" s="38">
        <f t="shared" si="7"/>
        <v>1.1943030239845239E-3</v>
      </c>
      <c r="H152" s="113">
        <f t="shared" si="8"/>
        <v>547060.1453273329</v>
      </c>
      <c r="J152" s="63"/>
      <c r="L152" s="40"/>
    </row>
    <row r="153" spans="1:12" x14ac:dyDescent="0.35">
      <c r="A153" s="34">
        <v>444</v>
      </c>
      <c r="B153" s="34" t="s">
        <v>197</v>
      </c>
      <c r="C153" s="35">
        <f>Bestämningsfaktor_kommunvis!C145</f>
        <v>33</v>
      </c>
      <c r="D153" s="61">
        <v>-3042</v>
      </c>
      <c r="E153" s="61">
        <v>-3201</v>
      </c>
      <c r="F153" s="61">
        <f t="shared" si="9"/>
        <v>3121.5</v>
      </c>
      <c r="G153" s="38">
        <f t="shared" si="7"/>
        <v>7.2318465361157934E-3</v>
      </c>
      <c r="H153" s="113">
        <f t="shared" si="8"/>
        <v>3312605.7102604648</v>
      </c>
      <c r="J153" s="63"/>
      <c r="L153" s="40"/>
    </row>
    <row r="154" spans="1:12" x14ac:dyDescent="0.35">
      <c r="A154" s="34">
        <v>445</v>
      </c>
      <c r="B154" s="34" t="s">
        <v>198</v>
      </c>
      <c r="C154" s="35">
        <f>Bestämningsfaktor_kommunvis!C146</f>
        <v>2</v>
      </c>
      <c r="D154" s="61">
        <v>-1296</v>
      </c>
      <c r="E154" s="61">
        <v>-1322</v>
      </c>
      <c r="F154" s="61">
        <f t="shared" si="9"/>
        <v>1309</v>
      </c>
      <c r="G154" s="38">
        <f t="shared" si="7"/>
        <v>3.0326724702148238E-3</v>
      </c>
      <c r="H154" s="113">
        <f t="shared" si="8"/>
        <v>1389140.1168447696</v>
      </c>
      <c r="J154" s="63"/>
      <c r="L154" s="40"/>
    </row>
    <row r="155" spans="1:12" x14ac:dyDescent="0.35">
      <c r="A155" s="34">
        <v>475</v>
      </c>
      <c r="B155" s="34" t="s">
        <v>199</v>
      </c>
      <c r="C155" s="35">
        <f>Bestämningsfaktor_kommunvis!C147</f>
        <v>15</v>
      </c>
      <c r="D155" s="61">
        <v>-419</v>
      </c>
      <c r="E155" s="61">
        <v>-400</v>
      </c>
      <c r="F155" s="61">
        <f t="shared" si="9"/>
        <v>409.5</v>
      </c>
      <c r="G155" s="38">
        <f t="shared" si="7"/>
        <v>9.4872374068217754E-4</v>
      </c>
      <c r="H155" s="113">
        <f t="shared" si="8"/>
        <v>434570.57131240115</v>
      </c>
      <c r="J155" s="63"/>
      <c r="L155" s="40"/>
    </row>
    <row r="156" spans="1:12" x14ac:dyDescent="0.35">
      <c r="A156" s="34">
        <v>480</v>
      </c>
      <c r="B156" s="34" t="s">
        <v>200</v>
      </c>
      <c r="C156" s="35">
        <f>Bestämningsfaktor_kommunvis!C148</f>
        <v>2</v>
      </c>
      <c r="D156" s="61">
        <v>-142</v>
      </c>
      <c r="E156" s="61">
        <v>-144</v>
      </c>
      <c r="F156" s="61">
        <f t="shared" si="9"/>
        <v>143</v>
      </c>
      <c r="G156" s="38">
        <f t="shared" si="7"/>
        <v>3.3130035388901437E-4</v>
      </c>
      <c r="H156" s="113">
        <f t="shared" si="8"/>
        <v>151754.80268052104</v>
      </c>
      <c r="J156" s="63"/>
      <c r="L156" s="40"/>
    </row>
    <row r="157" spans="1:12" x14ac:dyDescent="0.35">
      <c r="A157" s="34">
        <v>481</v>
      </c>
      <c r="B157" s="34" t="s">
        <v>201</v>
      </c>
      <c r="C157" s="35">
        <f>Bestämningsfaktor_kommunvis!C149</f>
        <v>2</v>
      </c>
      <c r="D157" s="61">
        <v>-692</v>
      </c>
      <c r="E157" s="61">
        <v>-695</v>
      </c>
      <c r="F157" s="61">
        <f t="shared" si="9"/>
        <v>693.5</v>
      </c>
      <c r="G157" s="38">
        <f t="shared" si="7"/>
        <v>1.6066908770771431E-3</v>
      </c>
      <c r="H157" s="113">
        <f t="shared" si="8"/>
        <v>735957.73188070871</v>
      </c>
      <c r="J157" s="63"/>
      <c r="L157" s="40"/>
    </row>
    <row r="158" spans="1:12" x14ac:dyDescent="0.35">
      <c r="A158" s="34">
        <v>483</v>
      </c>
      <c r="B158" s="34" t="s">
        <v>202</v>
      </c>
      <c r="C158" s="35">
        <f>Bestämningsfaktor_kommunvis!C150</f>
        <v>17</v>
      </c>
      <c r="D158" s="61">
        <v>-77</v>
      </c>
      <c r="E158" s="61">
        <v>-81</v>
      </c>
      <c r="F158" s="61">
        <f t="shared" si="9"/>
        <v>79</v>
      </c>
      <c r="G158" s="38">
        <f t="shared" si="7"/>
        <v>1.8302606963099396E-4</v>
      </c>
      <c r="H158" s="113">
        <f t="shared" si="8"/>
        <v>83836.569313015119</v>
      </c>
      <c r="J158" s="63"/>
      <c r="L158" s="40"/>
    </row>
    <row r="159" spans="1:12" x14ac:dyDescent="0.35">
      <c r="A159" s="34">
        <v>484</v>
      </c>
      <c r="B159" s="34" t="s">
        <v>203</v>
      </c>
      <c r="C159" s="35">
        <f>Bestämningsfaktor_kommunvis!C151</f>
        <v>4</v>
      </c>
      <c r="D159" s="61">
        <v>-356</v>
      </c>
      <c r="E159" s="61">
        <v>-355</v>
      </c>
      <c r="F159" s="61">
        <f t="shared" si="9"/>
        <v>355.5</v>
      </c>
      <c r="G159" s="38">
        <f t="shared" si="7"/>
        <v>8.2361731333947276E-4</v>
      </c>
      <c r="H159" s="113">
        <f t="shared" si="8"/>
        <v>377264.56190856802</v>
      </c>
      <c r="J159" s="63"/>
      <c r="L159" s="40"/>
    </row>
    <row r="160" spans="1:12" x14ac:dyDescent="0.35">
      <c r="A160" s="34">
        <v>489</v>
      </c>
      <c r="B160" s="34" t="s">
        <v>204</v>
      </c>
      <c r="C160" s="35">
        <f>Bestämningsfaktor_kommunvis!C152</f>
        <v>8</v>
      </c>
      <c r="D160" s="61">
        <v>-331</v>
      </c>
      <c r="E160" s="61">
        <v>-330</v>
      </c>
      <c r="F160" s="61">
        <f t="shared" si="9"/>
        <v>330.5</v>
      </c>
      <c r="G160" s="38">
        <f t="shared" si="7"/>
        <v>7.6569767105118356E-4</v>
      </c>
      <c r="H160" s="113">
        <f t="shared" si="8"/>
        <v>350734.00199938606</v>
      </c>
      <c r="J160" s="63"/>
      <c r="L160" s="40"/>
    </row>
    <row r="161" spans="1:12" x14ac:dyDescent="0.35">
      <c r="A161" s="34">
        <v>491</v>
      </c>
      <c r="B161" s="34" t="s">
        <v>205</v>
      </c>
      <c r="C161" s="35">
        <f>Bestämningsfaktor_kommunvis!C153</f>
        <v>10</v>
      </c>
      <c r="D161" s="61">
        <v>-4769</v>
      </c>
      <c r="E161" s="61">
        <v>-4992</v>
      </c>
      <c r="F161" s="61">
        <f t="shared" si="9"/>
        <v>4880.5</v>
      </c>
      <c r="G161" s="38">
        <f t="shared" si="7"/>
        <v>1.1307072567519822E-2</v>
      </c>
      <c r="H161" s="113">
        <f t="shared" si="8"/>
        <v>5179295.90547051</v>
      </c>
      <c r="J161" s="63"/>
      <c r="L161" s="40"/>
    </row>
    <row r="162" spans="1:12" x14ac:dyDescent="0.35">
      <c r="A162" s="34">
        <v>494</v>
      </c>
      <c r="B162" s="34" t="s">
        <v>206</v>
      </c>
      <c r="C162" s="35">
        <f>Bestämningsfaktor_kommunvis!C154</f>
        <v>17</v>
      </c>
      <c r="D162" s="61">
        <v>-573</v>
      </c>
      <c r="E162" s="61">
        <v>-573</v>
      </c>
      <c r="F162" s="61">
        <f t="shared" si="9"/>
        <v>573</v>
      </c>
      <c r="G162" s="38">
        <f t="shared" si="7"/>
        <v>1.3275182012475891E-3</v>
      </c>
      <c r="H162" s="113">
        <f t="shared" si="8"/>
        <v>608080.4331184515</v>
      </c>
      <c r="J162" s="63"/>
      <c r="L162" s="40"/>
    </row>
    <row r="163" spans="1:12" x14ac:dyDescent="0.35">
      <c r="A163" s="34">
        <v>495</v>
      </c>
      <c r="B163" s="34" t="s">
        <v>207</v>
      </c>
      <c r="C163" s="35">
        <f>Bestämningsfaktor_kommunvis!C155</f>
        <v>13</v>
      </c>
      <c r="D163" s="61">
        <v>-128</v>
      </c>
      <c r="E163" s="61">
        <v>-131</v>
      </c>
      <c r="F163" s="61">
        <f t="shared" si="9"/>
        <v>129.5</v>
      </c>
      <c r="G163" s="38">
        <f t="shared" si="7"/>
        <v>3.000237470533382E-4</v>
      </c>
      <c r="H163" s="113">
        <f t="shared" si="8"/>
        <v>137428.30032956277</v>
      </c>
      <c r="J163" s="63"/>
      <c r="L163" s="40"/>
    </row>
    <row r="164" spans="1:12" x14ac:dyDescent="0.35">
      <c r="A164" s="34">
        <v>498</v>
      </c>
      <c r="B164" s="34" t="s">
        <v>208</v>
      </c>
      <c r="C164" s="35">
        <f>Bestämningsfaktor_kommunvis!C156</f>
        <v>19</v>
      </c>
      <c r="D164" s="61">
        <v>-287</v>
      </c>
      <c r="E164" s="61">
        <v>-316</v>
      </c>
      <c r="F164" s="61">
        <f t="shared" si="9"/>
        <v>301.5</v>
      </c>
      <c r="G164" s="38">
        <f t="shared" si="7"/>
        <v>6.9851088599676809E-4</v>
      </c>
      <c r="H164" s="113">
        <f t="shared" si="8"/>
        <v>319958.55250473495</v>
      </c>
      <c r="J164" s="63"/>
      <c r="L164" s="40"/>
    </row>
    <row r="165" spans="1:12" x14ac:dyDescent="0.35">
      <c r="A165" s="34">
        <v>499</v>
      </c>
      <c r="B165" s="34" t="s">
        <v>209</v>
      </c>
      <c r="C165" s="35">
        <f>Bestämningsfaktor_kommunvis!C157</f>
        <v>15</v>
      </c>
      <c r="D165" s="61">
        <v>-1429</v>
      </c>
      <c r="E165" s="61">
        <v>-1371</v>
      </c>
      <c r="F165" s="61">
        <f t="shared" si="9"/>
        <v>1400</v>
      </c>
      <c r="G165" s="38">
        <f t="shared" si="7"/>
        <v>3.2434999681441967E-3</v>
      </c>
      <c r="H165" s="113">
        <f t="shared" si="8"/>
        <v>1485711.3549141921</v>
      </c>
      <c r="J165" s="63"/>
      <c r="L165" s="40"/>
    </row>
    <row r="166" spans="1:12" x14ac:dyDescent="0.35">
      <c r="A166" s="34">
        <v>500</v>
      </c>
      <c r="B166" s="34" t="s">
        <v>210</v>
      </c>
      <c r="C166" s="35">
        <f>Bestämningsfaktor_kommunvis!C158</f>
        <v>13</v>
      </c>
      <c r="D166" s="61">
        <v>-774</v>
      </c>
      <c r="E166" s="61">
        <v>-820</v>
      </c>
      <c r="F166" s="61">
        <f t="shared" si="9"/>
        <v>797</v>
      </c>
      <c r="G166" s="38">
        <f t="shared" si="7"/>
        <v>1.8464781961506605E-3</v>
      </c>
      <c r="H166" s="113">
        <f t="shared" si="8"/>
        <v>845794.24990472221</v>
      </c>
      <c r="J166" s="63"/>
      <c r="L166" s="40"/>
    </row>
    <row r="167" spans="1:12" x14ac:dyDescent="0.35">
      <c r="A167" s="34">
        <v>503</v>
      </c>
      <c r="B167" s="34" t="s">
        <v>211</v>
      </c>
      <c r="C167" s="35">
        <f>Bestämningsfaktor_kommunvis!C159</f>
        <v>2</v>
      </c>
      <c r="D167" s="61">
        <v>-558</v>
      </c>
      <c r="E167" s="61">
        <v>-568</v>
      </c>
      <c r="F167" s="61">
        <f t="shared" si="9"/>
        <v>563</v>
      </c>
      <c r="G167" s="38">
        <f t="shared" si="7"/>
        <v>1.3043503443322733E-3</v>
      </c>
      <c r="H167" s="113">
        <f t="shared" si="8"/>
        <v>597468.20915477863</v>
      </c>
      <c r="J167" s="63"/>
      <c r="L167" s="40"/>
    </row>
    <row r="168" spans="1:12" x14ac:dyDescent="0.35">
      <c r="A168" s="34">
        <v>504</v>
      </c>
      <c r="B168" s="34" t="s">
        <v>212</v>
      </c>
      <c r="C168" s="35">
        <f>Bestämningsfaktor_kommunvis!C160</f>
        <v>34</v>
      </c>
      <c r="D168" s="61">
        <v>-208</v>
      </c>
      <c r="E168" s="61">
        <v>-217</v>
      </c>
      <c r="F168" s="61">
        <f t="shared" si="9"/>
        <v>212.5</v>
      </c>
      <c r="G168" s="38">
        <f t="shared" si="7"/>
        <v>4.9231695945045845E-4</v>
      </c>
      <c r="H168" s="113">
        <f t="shared" si="8"/>
        <v>225509.75922804701</v>
      </c>
      <c r="J168" s="63"/>
      <c r="L168" s="40"/>
    </row>
    <row r="169" spans="1:12" x14ac:dyDescent="0.35">
      <c r="A169" s="34">
        <v>505</v>
      </c>
      <c r="B169" s="34" t="s">
        <v>213</v>
      </c>
      <c r="C169" s="35">
        <f>Bestämningsfaktor_kommunvis!C161</f>
        <v>35</v>
      </c>
      <c r="D169" s="61">
        <v>-1920</v>
      </c>
      <c r="E169" s="61">
        <v>-1917</v>
      </c>
      <c r="F169" s="61">
        <f t="shared" si="9"/>
        <v>1918.5</v>
      </c>
      <c r="G169" s="38">
        <f t="shared" si="7"/>
        <v>4.4447533492033156E-3</v>
      </c>
      <c r="H169" s="113">
        <f t="shared" si="8"/>
        <v>2035955.1674306269</v>
      </c>
      <c r="J169" s="63"/>
      <c r="L169" s="40"/>
    </row>
    <row r="170" spans="1:12" x14ac:dyDescent="0.35">
      <c r="A170" s="34">
        <v>507</v>
      </c>
      <c r="B170" s="34" t="s">
        <v>214</v>
      </c>
      <c r="C170" s="35">
        <f>Bestämningsfaktor_kommunvis!C162</f>
        <v>10</v>
      </c>
      <c r="D170" s="61">
        <v>-469</v>
      </c>
      <c r="E170" s="61">
        <v>-456</v>
      </c>
      <c r="F170" s="61">
        <f t="shared" si="9"/>
        <v>462.5</v>
      </c>
      <c r="G170" s="38">
        <f t="shared" si="7"/>
        <v>1.0715133823333508E-3</v>
      </c>
      <c r="H170" s="113">
        <f t="shared" si="8"/>
        <v>490815.35831986705</v>
      </c>
      <c r="J170" s="63"/>
      <c r="L170" s="40"/>
    </row>
    <row r="171" spans="1:12" x14ac:dyDescent="0.35">
      <c r="A171" s="34">
        <v>508</v>
      </c>
      <c r="B171" s="34" t="s">
        <v>215</v>
      </c>
      <c r="C171" s="35">
        <f>Bestämningsfaktor_kommunvis!C163</f>
        <v>6</v>
      </c>
      <c r="D171" s="61">
        <v>-715</v>
      </c>
      <c r="E171" s="61">
        <v>-759</v>
      </c>
      <c r="F171" s="61">
        <f t="shared" si="9"/>
        <v>737</v>
      </c>
      <c r="G171" s="38">
        <f t="shared" si="7"/>
        <v>1.7074710546587663E-3</v>
      </c>
      <c r="H171" s="113">
        <f t="shared" si="8"/>
        <v>782120.90612268529</v>
      </c>
      <c r="J171" s="63"/>
      <c r="L171" s="40"/>
    </row>
    <row r="172" spans="1:12" x14ac:dyDescent="0.35">
      <c r="A172" s="34">
        <v>529</v>
      </c>
      <c r="B172" s="34" t="s">
        <v>216</v>
      </c>
      <c r="C172" s="35">
        <f>Bestämningsfaktor_kommunvis!C164</f>
        <v>2</v>
      </c>
      <c r="D172" s="61">
        <v>-1446</v>
      </c>
      <c r="E172" s="61">
        <v>-1474</v>
      </c>
      <c r="F172" s="61">
        <f t="shared" si="9"/>
        <v>1460</v>
      </c>
      <c r="G172" s="38">
        <f t="shared" si="7"/>
        <v>3.3825071096360909E-3</v>
      </c>
      <c r="H172" s="113">
        <f t="shared" si="8"/>
        <v>1549384.6986962289</v>
      </c>
      <c r="J172" s="63"/>
      <c r="L172" s="40"/>
    </row>
    <row r="173" spans="1:12" x14ac:dyDescent="0.35">
      <c r="A173" s="34">
        <v>531</v>
      </c>
      <c r="B173" s="34" t="s">
        <v>217</v>
      </c>
      <c r="C173" s="35">
        <f>Bestämningsfaktor_kommunvis!C165</f>
        <v>4</v>
      </c>
      <c r="D173" s="61">
        <v>-454</v>
      </c>
      <c r="E173" s="61">
        <v>-490</v>
      </c>
      <c r="F173" s="61">
        <f t="shared" si="9"/>
        <v>472</v>
      </c>
      <c r="G173" s="38">
        <f t="shared" si="7"/>
        <v>1.0935228464029007E-3</v>
      </c>
      <c r="H173" s="113">
        <f t="shared" si="8"/>
        <v>500896.9710853562</v>
      </c>
      <c r="J173" s="63"/>
      <c r="L173" s="40"/>
    </row>
    <row r="174" spans="1:12" x14ac:dyDescent="0.35">
      <c r="A174" s="34">
        <v>535</v>
      </c>
      <c r="B174" s="34" t="s">
        <v>218</v>
      </c>
      <c r="C174" s="35">
        <f>Bestämningsfaktor_kommunvis!C166</f>
        <v>17</v>
      </c>
      <c r="D174" s="61">
        <v>-902</v>
      </c>
      <c r="E174" s="61">
        <v>-962</v>
      </c>
      <c r="F174" s="61">
        <f t="shared" si="9"/>
        <v>932</v>
      </c>
      <c r="G174" s="38">
        <f t="shared" si="7"/>
        <v>2.1592442645074223E-3</v>
      </c>
      <c r="H174" s="113">
        <f t="shared" si="8"/>
        <v>989059.27341430495</v>
      </c>
      <c r="J174" s="63"/>
      <c r="L174" s="40"/>
    </row>
    <row r="175" spans="1:12" x14ac:dyDescent="0.35">
      <c r="A175" s="34">
        <v>536</v>
      </c>
      <c r="B175" s="34" t="s">
        <v>219</v>
      </c>
      <c r="C175" s="35">
        <f>Bestämningsfaktor_kommunvis!C167</f>
        <v>6</v>
      </c>
      <c r="D175" s="61">
        <v>-2374</v>
      </c>
      <c r="E175" s="61">
        <v>-2494</v>
      </c>
      <c r="F175" s="61">
        <f t="shared" si="9"/>
        <v>2434</v>
      </c>
      <c r="G175" s="38">
        <f t="shared" si="7"/>
        <v>5.6390563731878391E-3</v>
      </c>
      <c r="H175" s="113">
        <f t="shared" si="8"/>
        <v>2583015.3127579596</v>
      </c>
      <c r="J175" s="63"/>
      <c r="L175" s="40"/>
    </row>
    <row r="176" spans="1:12" x14ac:dyDescent="0.35">
      <c r="A176" s="34">
        <v>538</v>
      </c>
      <c r="B176" s="34" t="s">
        <v>220</v>
      </c>
      <c r="C176" s="35">
        <f>Bestämningsfaktor_kommunvis!C168</f>
        <v>2</v>
      </c>
      <c r="D176" s="61">
        <v>-333</v>
      </c>
      <c r="E176" s="61">
        <v>-344</v>
      </c>
      <c r="F176" s="61">
        <f t="shared" si="9"/>
        <v>338.5</v>
      </c>
      <c r="G176" s="38">
        <f t="shared" si="7"/>
        <v>7.8423195658343619E-4</v>
      </c>
      <c r="H176" s="113">
        <f t="shared" si="8"/>
        <v>359223.78117032431</v>
      </c>
      <c r="J176" s="63"/>
      <c r="L176" s="40"/>
    </row>
    <row r="177" spans="1:12" x14ac:dyDescent="0.35">
      <c r="A177" s="34">
        <v>541</v>
      </c>
      <c r="B177" s="34" t="s">
        <v>221</v>
      </c>
      <c r="C177" s="35">
        <f>Bestämningsfaktor_kommunvis!C169</f>
        <v>12</v>
      </c>
      <c r="D177" s="61">
        <v>-611</v>
      </c>
      <c r="E177" s="61">
        <v>-751</v>
      </c>
      <c r="F177" s="61">
        <f t="shared" si="9"/>
        <v>681</v>
      </c>
      <c r="G177" s="38">
        <f t="shared" si="7"/>
        <v>1.5777310559329987E-3</v>
      </c>
      <c r="H177" s="113">
        <f t="shared" si="8"/>
        <v>722692.45192611776</v>
      </c>
      <c r="J177" s="63"/>
      <c r="L177" s="40"/>
    </row>
    <row r="178" spans="1:12" x14ac:dyDescent="0.35">
      <c r="A178" s="34">
        <v>543</v>
      </c>
      <c r="B178" s="34" t="s">
        <v>222</v>
      </c>
      <c r="C178" s="35">
        <f>Bestämningsfaktor_kommunvis!C170</f>
        <v>35</v>
      </c>
      <c r="D178" s="61">
        <v>-3185</v>
      </c>
      <c r="E178" s="61">
        <v>-3292</v>
      </c>
      <c r="F178" s="61">
        <f t="shared" si="9"/>
        <v>3238.5</v>
      </c>
      <c r="G178" s="38">
        <f t="shared" si="7"/>
        <v>7.5029104620249866E-3</v>
      </c>
      <c r="H178" s="113">
        <f t="shared" si="8"/>
        <v>3436768.7306354363</v>
      </c>
      <c r="J178" s="63"/>
      <c r="L178" s="40"/>
    </row>
    <row r="179" spans="1:12" x14ac:dyDescent="0.35">
      <c r="A179" s="34">
        <v>545</v>
      </c>
      <c r="B179" s="34" t="s">
        <v>223</v>
      </c>
      <c r="C179" s="35">
        <f>Bestämningsfaktor_kommunvis!C171</f>
        <v>15</v>
      </c>
      <c r="D179" s="61">
        <v>-698</v>
      </c>
      <c r="E179" s="61">
        <v>-674</v>
      </c>
      <c r="F179" s="61">
        <f t="shared" si="9"/>
        <v>686</v>
      </c>
      <c r="G179" s="38">
        <f t="shared" si="7"/>
        <v>1.5893149843906563E-3</v>
      </c>
      <c r="H179" s="113">
        <f t="shared" si="8"/>
        <v>727998.56390795403</v>
      </c>
      <c r="J179" s="63"/>
      <c r="L179" s="40"/>
    </row>
    <row r="180" spans="1:12" x14ac:dyDescent="0.35">
      <c r="A180" s="34">
        <v>560</v>
      </c>
      <c r="B180" s="34" t="s">
        <v>224</v>
      </c>
      <c r="C180" s="35">
        <f>Bestämningsfaktor_kommunvis!C172</f>
        <v>7</v>
      </c>
      <c r="D180" s="61">
        <v>-1926</v>
      </c>
      <c r="E180" s="61">
        <v>-1925</v>
      </c>
      <c r="F180" s="61">
        <f t="shared" si="9"/>
        <v>1925.5</v>
      </c>
      <c r="G180" s="38">
        <f t="shared" si="7"/>
        <v>4.4609708490440363E-3</v>
      </c>
      <c r="H180" s="113">
        <f t="shared" si="8"/>
        <v>2043383.7242051978</v>
      </c>
      <c r="J180" s="63"/>
      <c r="L180" s="40"/>
    </row>
    <row r="181" spans="1:12" x14ac:dyDescent="0.35">
      <c r="A181" s="34">
        <v>561</v>
      </c>
      <c r="B181" s="34" t="s">
        <v>225</v>
      </c>
      <c r="C181" s="35">
        <f>Bestämningsfaktor_kommunvis!C173</f>
        <v>2</v>
      </c>
      <c r="D181" s="61">
        <v>-97</v>
      </c>
      <c r="E181" s="61">
        <v>-100</v>
      </c>
      <c r="F181" s="61">
        <f t="shared" si="9"/>
        <v>98.5</v>
      </c>
      <c r="G181" s="38">
        <f t="shared" si="7"/>
        <v>2.2820339061585955E-4</v>
      </c>
      <c r="H181" s="113">
        <f t="shared" si="8"/>
        <v>104530.40604217708</v>
      </c>
      <c r="J181" s="63"/>
      <c r="L181" s="40"/>
    </row>
    <row r="182" spans="1:12" x14ac:dyDescent="0.35">
      <c r="A182" s="34">
        <v>562</v>
      </c>
      <c r="B182" s="34" t="s">
        <v>226</v>
      </c>
      <c r="C182" s="35">
        <f>Bestämningsfaktor_kommunvis!C174</f>
        <v>6</v>
      </c>
      <c r="D182" s="61">
        <v>-657</v>
      </c>
      <c r="E182" s="61">
        <v>-685</v>
      </c>
      <c r="F182" s="61">
        <f t="shared" si="9"/>
        <v>671</v>
      </c>
      <c r="G182" s="38">
        <f t="shared" si="7"/>
        <v>1.5545631990176829E-3</v>
      </c>
      <c r="H182" s="113">
        <f t="shared" si="8"/>
        <v>712080.22796244489</v>
      </c>
      <c r="J182" s="63"/>
      <c r="L182" s="40"/>
    </row>
    <row r="183" spans="1:12" x14ac:dyDescent="0.35">
      <c r="A183" s="34">
        <v>563</v>
      </c>
      <c r="B183" s="34" t="s">
        <v>227</v>
      </c>
      <c r="C183" s="35">
        <f>Bestämningsfaktor_kommunvis!C175</f>
        <v>17</v>
      </c>
      <c r="D183" s="61">
        <v>-783</v>
      </c>
      <c r="E183" s="61">
        <v>-827</v>
      </c>
      <c r="F183" s="61">
        <f t="shared" si="9"/>
        <v>805</v>
      </c>
      <c r="G183" s="38">
        <f t="shared" si="7"/>
        <v>1.8650124816829131E-3</v>
      </c>
      <c r="H183" s="113">
        <f t="shared" si="8"/>
        <v>854284.02907566039</v>
      </c>
      <c r="J183" s="63"/>
      <c r="L183" s="40"/>
    </row>
    <row r="184" spans="1:12" x14ac:dyDescent="0.35">
      <c r="A184" s="34">
        <v>564</v>
      </c>
      <c r="B184" s="34" t="s">
        <v>228</v>
      </c>
      <c r="C184" s="35">
        <f>Bestämningsfaktor_kommunvis!C176</f>
        <v>17</v>
      </c>
      <c r="D184" s="61">
        <v>-11668</v>
      </c>
      <c r="E184" s="61">
        <v>-18030</v>
      </c>
      <c r="F184" s="61">
        <f t="shared" si="9"/>
        <v>14849</v>
      </c>
      <c r="G184" s="38">
        <f t="shared" si="7"/>
        <v>3.4401950733552268E-2</v>
      </c>
      <c r="H184" s="113">
        <f t="shared" si="8"/>
        <v>15758091.363657741</v>
      </c>
      <c r="J184" s="63"/>
      <c r="L184" s="40"/>
    </row>
    <row r="185" spans="1:12" x14ac:dyDescent="0.35">
      <c r="A185" s="34">
        <v>576</v>
      </c>
      <c r="B185" s="34" t="s">
        <v>229</v>
      </c>
      <c r="C185" s="35">
        <f>Bestämningsfaktor_kommunvis!C177</f>
        <v>7</v>
      </c>
      <c r="D185" s="61">
        <v>-267</v>
      </c>
      <c r="E185" s="61">
        <v>-273</v>
      </c>
      <c r="F185" s="61">
        <f t="shared" si="9"/>
        <v>270</v>
      </c>
      <c r="G185" s="38">
        <f t="shared" si="7"/>
        <v>6.2553213671352368E-4</v>
      </c>
      <c r="H185" s="113">
        <f t="shared" si="8"/>
        <v>286530.04701916565</v>
      </c>
      <c r="J185" s="63"/>
      <c r="L185" s="40"/>
    </row>
    <row r="186" spans="1:12" x14ac:dyDescent="0.35">
      <c r="A186" s="34">
        <v>577</v>
      </c>
      <c r="B186" s="34" t="s">
        <v>230</v>
      </c>
      <c r="C186" s="35">
        <f>Bestämningsfaktor_kommunvis!C178</f>
        <v>2</v>
      </c>
      <c r="D186" s="61">
        <v>-755</v>
      </c>
      <c r="E186" s="61">
        <v>-779</v>
      </c>
      <c r="F186" s="61">
        <f t="shared" si="9"/>
        <v>767</v>
      </c>
      <c r="G186" s="38">
        <f t="shared" si="7"/>
        <v>1.7769746254047134E-3</v>
      </c>
      <c r="H186" s="113">
        <f t="shared" si="8"/>
        <v>813957.57801370381</v>
      </c>
      <c r="J186" s="63"/>
      <c r="L186" s="40"/>
    </row>
    <row r="187" spans="1:12" x14ac:dyDescent="0.35">
      <c r="A187" s="34">
        <v>578</v>
      </c>
      <c r="B187" s="34" t="s">
        <v>231</v>
      </c>
      <c r="C187" s="35">
        <f>Bestämningsfaktor_kommunvis!C179</f>
        <v>18</v>
      </c>
      <c r="D187" s="61">
        <v>-277</v>
      </c>
      <c r="E187" s="61">
        <v>-313</v>
      </c>
      <c r="F187" s="61">
        <f t="shared" si="9"/>
        <v>295</v>
      </c>
      <c r="G187" s="38">
        <f t="shared" si="7"/>
        <v>6.8345177900181288E-4</v>
      </c>
      <c r="H187" s="113">
        <f t="shared" si="8"/>
        <v>313060.60692834761</v>
      </c>
      <c r="J187" s="63"/>
      <c r="L187" s="40"/>
    </row>
    <row r="188" spans="1:12" x14ac:dyDescent="0.35">
      <c r="A188" s="34">
        <v>580</v>
      </c>
      <c r="B188" s="34" t="s">
        <v>232</v>
      </c>
      <c r="C188" s="35">
        <f>Bestämningsfaktor_kommunvis!C180</f>
        <v>9</v>
      </c>
      <c r="D188" s="61">
        <v>-598</v>
      </c>
      <c r="E188" s="61">
        <v>-547</v>
      </c>
      <c r="F188" s="61">
        <f t="shared" si="9"/>
        <v>572.5</v>
      </c>
      <c r="G188" s="38">
        <f t="shared" si="7"/>
        <v>1.3263598084018234E-3</v>
      </c>
      <c r="H188" s="113">
        <f t="shared" si="8"/>
        <v>607549.82192026789</v>
      </c>
      <c r="J188" s="63"/>
      <c r="L188" s="40"/>
    </row>
    <row r="189" spans="1:12" x14ac:dyDescent="0.35">
      <c r="A189" s="34">
        <v>581</v>
      </c>
      <c r="B189" s="34" t="s">
        <v>233</v>
      </c>
      <c r="C189" s="35">
        <f>Bestämningsfaktor_kommunvis!C181</f>
        <v>6</v>
      </c>
      <c r="D189" s="61">
        <v>-473</v>
      </c>
      <c r="E189" s="61">
        <v>-488</v>
      </c>
      <c r="F189" s="61">
        <f t="shared" si="9"/>
        <v>480.5</v>
      </c>
      <c r="G189" s="38">
        <f t="shared" si="7"/>
        <v>1.1132155247809189E-3</v>
      </c>
      <c r="H189" s="113">
        <f t="shared" si="8"/>
        <v>509917.361454478</v>
      </c>
      <c r="J189" s="63"/>
      <c r="L189" s="40"/>
    </row>
    <row r="190" spans="1:12" x14ac:dyDescent="0.35">
      <c r="A190" s="34">
        <v>583</v>
      </c>
      <c r="B190" s="34" t="s">
        <v>234</v>
      </c>
      <c r="C190" s="35">
        <f>Bestämningsfaktor_kommunvis!C182</f>
        <v>19</v>
      </c>
      <c r="D190" s="61">
        <v>-193</v>
      </c>
      <c r="E190" s="61">
        <v>-188</v>
      </c>
      <c r="F190" s="61">
        <f t="shared" si="9"/>
        <v>190.5</v>
      </c>
      <c r="G190" s="38">
        <f t="shared" si="7"/>
        <v>4.4134767423676389E-4</v>
      </c>
      <c r="H190" s="113">
        <f t="shared" si="8"/>
        <v>202162.86650796683</v>
      </c>
      <c r="J190" s="63"/>
      <c r="L190" s="40"/>
    </row>
    <row r="191" spans="1:12" x14ac:dyDescent="0.35">
      <c r="A191" s="34">
        <v>584</v>
      </c>
      <c r="B191" s="34" t="s">
        <v>235</v>
      </c>
      <c r="C191" s="35">
        <f>Bestämningsfaktor_kommunvis!C183</f>
        <v>16</v>
      </c>
      <c r="D191" s="61">
        <v>-264</v>
      </c>
      <c r="E191" s="61">
        <v>-328</v>
      </c>
      <c r="F191" s="61">
        <f t="shared" si="9"/>
        <v>296</v>
      </c>
      <c r="G191" s="38">
        <f t="shared" si="7"/>
        <v>6.857685646933445E-4</v>
      </c>
      <c r="H191" s="113">
        <f t="shared" si="8"/>
        <v>314121.8293247149</v>
      </c>
      <c r="J191" s="63"/>
      <c r="L191" s="40"/>
    </row>
    <row r="192" spans="1:12" x14ac:dyDescent="0.35">
      <c r="A192" s="34">
        <v>588</v>
      </c>
      <c r="B192" s="34" t="s">
        <v>236</v>
      </c>
      <c r="C192" s="35">
        <f>Bestämningsfaktor_kommunvis!C184</f>
        <v>10</v>
      </c>
      <c r="D192" s="61">
        <v>-148</v>
      </c>
      <c r="E192" s="61">
        <v>-146</v>
      </c>
      <c r="F192" s="61">
        <f t="shared" si="9"/>
        <v>147</v>
      </c>
      <c r="G192" s="38">
        <f t="shared" si="7"/>
        <v>3.4056749665514063E-4</v>
      </c>
      <c r="H192" s="113">
        <f t="shared" si="8"/>
        <v>155999.69226599016</v>
      </c>
      <c r="J192" s="63"/>
      <c r="L192" s="40"/>
    </row>
    <row r="193" spans="1:12" x14ac:dyDescent="0.35">
      <c r="A193" s="34">
        <v>592</v>
      </c>
      <c r="B193" s="34" t="s">
        <v>237</v>
      </c>
      <c r="C193" s="35">
        <f>Bestämningsfaktor_kommunvis!C185</f>
        <v>13</v>
      </c>
      <c r="D193" s="61">
        <v>-313</v>
      </c>
      <c r="E193" s="61">
        <v>-320</v>
      </c>
      <c r="F193" s="61">
        <f t="shared" si="9"/>
        <v>316.5</v>
      </c>
      <c r="G193" s="38">
        <f t="shared" si="7"/>
        <v>7.3326267136974163E-4</v>
      </c>
      <c r="H193" s="113">
        <f t="shared" si="8"/>
        <v>335876.88845024415</v>
      </c>
      <c r="J193" s="63"/>
      <c r="L193" s="40"/>
    </row>
    <row r="194" spans="1:12" x14ac:dyDescent="0.35">
      <c r="A194" s="34">
        <v>593</v>
      </c>
      <c r="B194" s="34" t="s">
        <v>238</v>
      </c>
      <c r="C194" s="35">
        <f>Bestämningsfaktor_kommunvis!C186</f>
        <v>10</v>
      </c>
      <c r="D194" s="61">
        <v>-1576</v>
      </c>
      <c r="E194" s="61">
        <v>-1441</v>
      </c>
      <c r="F194" s="61">
        <f t="shared" si="9"/>
        <v>1508.5</v>
      </c>
      <c r="G194" s="38">
        <f t="shared" si="7"/>
        <v>3.4948712156753722E-3</v>
      </c>
      <c r="H194" s="113">
        <f t="shared" si="8"/>
        <v>1600853.9849200421</v>
      </c>
      <c r="J194" s="63"/>
      <c r="L194" s="40"/>
    </row>
    <row r="195" spans="1:12" x14ac:dyDescent="0.35">
      <c r="A195" s="34">
        <v>595</v>
      </c>
      <c r="B195" s="34" t="s">
        <v>239</v>
      </c>
      <c r="C195" s="35">
        <f>Bestämningsfaktor_kommunvis!C187</f>
        <v>11</v>
      </c>
      <c r="D195" s="61">
        <v>-412</v>
      </c>
      <c r="E195" s="61">
        <v>-421</v>
      </c>
      <c r="F195" s="61">
        <f t="shared" si="9"/>
        <v>416.5</v>
      </c>
      <c r="G195" s="38">
        <f t="shared" si="7"/>
        <v>9.6494124052289856E-4</v>
      </c>
      <c r="H195" s="113">
        <f t="shared" si="8"/>
        <v>441999.12808697217</v>
      </c>
      <c r="J195" s="63"/>
      <c r="L195" s="40"/>
    </row>
    <row r="196" spans="1:12" x14ac:dyDescent="0.35">
      <c r="A196" s="34">
        <v>598</v>
      </c>
      <c r="B196" s="34" t="s">
        <v>240</v>
      </c>
      <c r="C196" s="35">
        <f>Bestämningsfaktor_kommunvis!C188</f>
        <v>15</v>
      </c>
      <c r="D196" s="61">
        <v>-2181</v>
      </c>
      <c r="E196" s="61">
        <v>-2382</v>
      </c>
      <c r="F196" s="61">
        <f t="shared" si="9"/>
        <v>2281.5</v>
      </c>
      <c r="G196" s="38">
        <f t="shared" si="7"/>
        <v>5.2857465552292749E-3</v>
      </c>
      <c r="H196" s="113">
        <f t="shared" si="8"/>
        <v>2421178.8973119492</v>
      </c>
      <c r="J196" s="63"/>
      <c r="L196" s="40"/>
    </row>
    <row r="197" spans="1:12" x14ac:dyDescent="0.35">
      <c r="A197" s="34">
        <v>599</v>
      </c>
      <c r="B197" s="34" t="s">
        <v>241</v>
      </c>
      <c r="C197" s="35">
        <f>Bestämningsfaktor_kommunvis!C189</f>
        <v>15</v>
      </c>
      <c r="D197" s="61">
        <v>-819</v>
      </c>
      <c r="E197" s="61">
        <v>-787</v>
      </c>
      <c r="F197" s="61">
        <f t="shared" si="9"/>
        <v>803</v>
      </c>
      <c r="G197" s="38">
        <f t="shared" si="7"/>
        <v>1.86037891029985E-3</v>
      </c>
      <c r="H197" s="113">
        <f t="shared" si="8"/>
        <v>852161.58428292593</v>
      </c>
      <c r="J197" s="63"/>
      <c r="L197" s="40"/>
    </row>
    <row r="198" spans="1:12" x14ac:dyDescent="0.35">
      <c r="A198" s="34">
        <v>601</v>
      </c>
      <c r="B198" s="34" t="s">
        <v>242</v>
      </c>
      <c r="C198" s="35">
        <f>Bestämningsfaktor_kommunvis!C190</f>
        <v>13</v>
      </c>
      <c r="D198" s="61">
        <v>-324</v>
      </c>
      <c r="E198" s="61">
        <v>-330</v>
      </c>
      <c r="F198" s="61">
        <f t="shared" si="9"/>
        <v>327</v>
      </c>
      <c r="G198" s="38">
        <f t="shared" si="7"/>
        <v>7.575889211308231E-4</v>
      </c>
      <c r="H198" s="113">
        <f t="shared" si="8"/>
        <v>347019.72361210058</v>
      </c>
      <c r="J198" s="63"/>
      <c r="L198" s="40"/>
    </row>
    <row r="199" spans="1:12" x14ac:dyDescent="0.35">
      <c r="A199" s="34">
        <v>604</v>
      </c>
      <c r="B199" s="34" t="s">
        <v>243</v>
      </c>
      <c r="C199" s="35">
        <f>Bestämningsfaktor_kommunvis!C191</f>
        <v>6</v>
      </c>
      <c r="D199" s="61">
        <v>-1357</v>
      </c>
      <c r="E199" s="61">
        <v>-1419</v>
      </c>
      <c r="F199" s="61">
        <f t="shared" si="9"/>
        <v>1388</v>
      </c>
      <c r="G199" s="38">
        <f t="shared" si="7"/>
        <v>3.2156985398458181E-3</v>
      </c>
      <c r="H199" s="113">
        <f t="shared" si="8"/>
        <v>1472976.6861577849</v>
      </c>
      <c r="J199" s="63"/>
      <c r="L199" s="40"/>
    </row>
    <row r="200" spans="1:12" x14ac:dyDescent="0.35">
      <c r="A200" s="34">
        <v>607</v>
      </c>
      <c r="B200" s="34" t="s">
        <v>244</v>
      </c>
      <c r="C200" s="35">
        <f>Bestämningsfaktor_kommunvis!C192</f>
        <v>12</v>
      </c>
      <c r="D200" s="61">
        <v>-351</v>
      </c>
      <c r="E200" s="61">
        <v>-356</v>
      </c>
      <c r="F200" s="61">
        <f t="shared" si="9"/>
        <v>353.5</v>
      </c>
      <c r="G200" s="38">
        <f t="shared" si="7"/>
        <v>8.1898374195640963E-4</v>
      </c>
      <c r="H200" s="113">
        <f t="shared" si="8"/>
        <v>375142.11711583345</v>
      </c>
      <c r="J200" s="63"/>
      <c r="L200" s="40"/>
    </row>
    <row r="201" spans="1:12" x14ac:dyDescent="0.35">
      <c r="A201" s="34">
        <v>608</v>
      </c>
      <c r="B201" s="34" t="s">
        <v>245</v>
      </c>
      <c r="C201" s="35">
        <f>Bestämningsfaktor_kommunvis!C193</f>
        <v>4</v>
      </c>
      <c r="D201" s="61">
        <v>-269</v>
      </c>
      <c r="E201" s="61">
        <v>-278</v>
      </c>
      <c r="F201" s="61">
        <f t="shared" si="9"/>
        <v>273.5</v>
      </c>
      <c r="G201" s="38">
        <f t="shared" si="7"/>
        <v>6.3364088663388413E-4</v>
      </c>
      <c r="H201" s="113">
        <f t="shared" si="8"/>
        <v>290244.32540645107</v>
      </c>
      <c r="J201" s="63"/>
      <c r="L201" s="40"/>
    </row>
    <row r="202" spans="1:12" x14ac:dyDescent="0.35">
      <c r="A202" s="34">
        <v>609</v>
      </c>
      <c r="B202" s="34" t="s">
        <v>246</v>
      </c>
      <c r="C202" s="35">
        <f>Bestämningsfaktor_kommunvis!C194</f>
        <v>4</v>
      </c>
      <c r="D202" s="61">
        <v>-8131</v>
      </c>
      <c r="E202" s="61">
        <v>-7599</v>
      </c>
      <c r="F202" s="61">
        <f t="shared" si="9"/>
        <v>7865</v>
      </c>
      <c r="G202" s="38">
        <f t="shared" si="7"/>
        <v>1.8221519463895792E-2</v>
      </c>
      <c r="H202" s="113">
        <f t="shared" si="8"/>
        <v>8346514.1474286579</v>
      </c>
      <c r="J202" s="63"/>
      <c r="L202" s="40"/>
    </row>
    <row r="203" spans="1:12" x14ac:dyDescent="0.35">
      <c r="A203" s="34">
        <v>611</v>
      </c>
      <c r="B203" s="34" t="s">
        <v>247</v>
      </c>
      <c r="C203" s="35">
        <f>Bestämningsfaktor_kommunvis!C195</f>
        <v>35</v>
      </c>
      <c r="D203" s="61">
        <v>-379</v>
      </c>
      <c r="E203" s="61">
        <v>-383</v>
      </c>
      <c r="F203" s="61">
        <f t="shared" si="9"/>
        <v>381</v>
      </c>
      <c r="G203" s="38">
        <f t="shared" si="7"/>
        <v>8.8269534847352778E-4</v>
      </c>
      <c r="H203" s="113">
        <f t="shared" si="8"/>
        <v>404325.73301593366</v>
      </c>
      <c r="J203" s="63"/>
      <c r="L203" s="40"/>
    </row>
    <row r="204" spans="1:12" x14ac:dyDescent="0.35">
      <c r="A204" s="34">
        <v>614</v>
      </c>
      <c r="B204" s="34" t="s">
        <v>248</v>
      </c>
      <c r="C204" s="35">
        <f>Bestämningsfaktor_kommunvis!C196</f>
        <v>19</v>
      </c>
      <c r="D204" s="61">
        <v>-352</v>
      </c>
      <c r="E204" s="61">
        <v>-373</v>
      </c>
      <c r="F204" s="61">
        <f t="shared" si="9"/>
        <v>362.5</v>
      </c>
      <c r="G204" s="38">
        <f t="shared" ref="G204:G267" si="10">F204/$F$12</f>
        <v>8.3983481318019378E-4</v>
      </c>
      <c r="H204" s="113">
        <f t="shared" si="8"/>
        <v>384693.11868313898</v>
      </c>
      <c r="J204" s="63"/>
      <c r="L204" s="40"/>
    </row>
    <row r="205" spans="1:12" x14ac:dyDescent="0.35">
      <c r="A205" s="34">
        <v>615</v>
      </c>
      <c r="B205" s="34" t="s">
        <v>249</v>
      </c>
      <c r="C205" s="35">
        <f>Bestämningsfaktor_kommunvis!C197</f>
        <v>17</v>
      </c>
      <c r="D205" s="61">
        <v>-517</v>
      </c>
      <c r="E205" s="61">
        <v>-511</v>
      </c>
      <c r="F205" s="61">
        <f t="shared" si="9"/>
        <v>514</v>
      </c>
      <c r="G205" s="38">
        <f t="shared" si="10"/>
        <v>1.1908278454472265E-3</v>
      </c>
      <c r="H205" s="113">
        <f t="shared" ref="H205:H268" si="11">(G205*$H$12)</f>
        <v>545468.31173278193</v>
      </c>
      <c r="J205" s="63"/>
      <c r="L205" s="40"/>
    </row>
    <row r="206" spans="1:12" x14ac:dyDescent="0.35">
      <c r="A206" s="34">
        <v>616</v>
      </c>
      <c r="B206" s="34" t="s">
        <v>250</v>
      </c>
      <c r="C206" s="35">
        <f>Bestämningsfaktor_kommunvis!C198</f>
        <v>34</v>
      </c>
      <c r="D206" s="61">
        <v>-184</v>
      </c>
      <c r="E206" s="61">
        <v>-203</v>
      </c>
      <c r="F206" s="61">
        <f t="shared" ref="F206:F269" si="12">-AVERAGE(D206:E206)</f>
        <v>193.5</v>
      </c>
      <c r="G206" s="38">
        <f t="shared" si="10"/>
        <v>4.4829803131135864E-4</v>
      </c>
      <c r="H206" s="113">
        <f t="shared" si="11"/>
        <v>205346.53369706869</v>
      </c>
      <c r="J206" s="63"/>
      <c r="L206" s="40"/>
    </row>
    <row r="207" spans="1:12" x14ac:dyDescent="0.35">
      <c r="A207" s="34">
        <v>619</v>
      </c>
      <c r="B207" s="34" t="s">
        <v>251</v>
      </c>
      <c r="C207" s="35">
        <f>Bestämningsfaktor_kommunvis!C199</f>
        <v>6</v>
      </c>
      <c r="D207" s="61">
        <v>-209</v>
      </c>
      <c r="E207" s="61">
        <v>-218</v>
      </c>
      <c r="F207" s="61">
        <f t="shared" si="12"/>
        <v>213.5</v>
      </c>
      <c r="G207" s="38">
        <f t="shared" si="10"/>
        <v>4.9463374514198996E-4</v>
      </c>
      <c r="H207" s="113">
        <f t="shared" si="11"/>
        <v>226570.98162441427</v>
      </c>
      <c r="J207" s="63"/>
      <c r="L207" s="40"/>
    </row>
    <row r="208" spans="1:12" x14ac:dyDescent="0.35">
      <c r="A208" s="34">
        <v>620</v>
      </c>
      <c r="B208" s="34" t="s">
        <v>252</v>
      </c>
      <c r="C208" s="35">
        <f>Bestämningsfaktor_kommunvis!C200</f>
        <v>18</v>
      </c>
      <c r="D208" s="61">
        <v>-250</v>
      </c>
      <c r="E208" s="61">
        <v>-256</v>
      </c>
      <c r="F208" s="61">
        <f t="shared" si="12"/>
        <v>253</v>
      </c>
      <c r="G208" s="38">
        <f t="shared" si="10"/>
        <v>5.8614677995748701E-4</v>
      </c>
      <c r="H208" s="113">
        <f t="shared" si="11"/>
        <v>268489.26628092187</v>
      </c>
      <c r="J208" s="63"/>
      <c r="L208" s="40"/>
    </row>
    <row r="209" spans="1:12" x14ac:dyDescent="0.35">
      <c r="A209" s="34">
        <v>623</v>
      </c>
      <c r="B209" s="34" t="s">
        <v>253</v>
      </c>
      <c r="C209" s="35">
        <f>Bestämningsfaktor_kommunvis!C201</f>
        <v>10</v>
      </c>
      <c r="D209" s="61">
        <v>-207</v>
      </c>
      <c r="E209" s="61">
        <v>-199</v>
      </c>
      <c r="F209" s="61">
        <f t="shared" si="12"/>
        <v>203</v>
      </c>
      <c r="G209" s="38">
        <f t="shared" si="10"/>
        <v>4.7030749538090854E-4</v>
      </c>
      <c r="H209" s="113">
        <f t="shared" si="11"/>
        <v>215428.14646255787</v>
      </c>
      <c r="J209" s="63"/>
      <c r="L209" s="40"/>
    </row>
    <row r="210" spans="1:12" x14ac:dyDescent="0.35">
      <c r="A210" s="34">
        <v>624</v>
      </c>
      <c r="B210" s="34" t="s">
        <v>254</v>
      </c>
      <c r="C210" s="35">
        <f>Bestämningsfaktor_kommunvis!C202</f>
        <v>8</v>
      </c>
      <c r="D210" s="61">
        <v>-376</v>
      </c>
      <c r="E210" s="61">
        <v>-378</v>
      </c>
      <c r="F210" s="61">
        <f t="shared" si="12"/>
        <v>377</v>
      </c>
      <c r="G210" s="38">
        <f t="shared" si="10"/>
        <v>8.7342820570740151E-4</v>
      </c>
      <c r="H210" s="113">
        <f t="shared" si="11"/>
        <v>400080.84343046456</v>
      </c>
      <c r="J210" s="63"/>
      <c r="L210" s="40"/>
    </row>
    <row r="211" spans="1:12" x14ac:dyDescent="0.35">
      <c r="A211" s="34">
        <v>625</v>
      </c>
      <c r="B211" s="34" t="s">
        <v>255</v>
      </c>
      <c r="C211" s="35">
        <f>Bestämningsfaktor_kommunvis!C203</f>
        <v>17</v>
      </c>
      <c r="D211" s="61">
        <v>-311</v>
      </c>
      <c r="E211" s="61">
        <v>-327</v>
      </c>
      <c r="F211" s="61">
        <f t="shared" si="12"/>
        <v>319</v>
      </c>
      <c r="G211" s="38">
        <f t="shared" si="10"/>
        <v>7.3905463559857058E-4</v>
      </c>
      <c r="H211" s="113">
        <f t="shared" si="11"/>
        <v>338529.94444116234</v>
      </c>
      <c r="J211" s="63"/>
      <c r="L211" s="40"/>
    </row>
    <row r="212" spans="1:12" x14ac:dyDescent="0.35">
      <c r="A212" s="34">
        <v>626</v>
      </c>
      <c r="B212" s="34" t="s">
        <v>256</v>
      </c>
      <c r="C212" s="35">
        <f>Bestämningsfaktor_kommunvis!C204</f>
        <v>17</v>
      </c>
      <c r="D212" s="61">
        <v>-504</v>
      </c>
      <c r="E212" s="61">
        <v>-531</v>
      </c>
      <c r="F212" s="61">
        <f t="shared" si="12"/>
        <v>517.5</v>
      </c>
      <c r="G212" s="38">
        <f t="shared" si="10"/>
        <v>1.1989365953675871E-3</v>
      </c>
      <c r="H212" s="113">
        <f t="shared" si="11"/>
        <v>549182.59012006747</v>
      </c>
      <c r="J212" s="63"/>
      <c r="L212" s="40"/>
    </row>
    <row r="213" spans="1:12" x14ac:dyDescent="0.35">
      <c r="A213" s="34">
        <v>630</v>
      </c>
      <c r="B213" s="34" t="s">
        <v>257</v>
      </c>
      <c r="C213" s="35">
        <f>Bestämningsfaktor_kommunvis!C205</f>
        <v>17</v>
      </c>
      <c r="D213" s="61">
        <v>-234</v>
      </c>
      <c r="E213" s="61">
        <v>-220</v>
      </c>
      <c r="F213" s="61">
        <f t="shared" si="12"/>
        <v>227</v>
      </c>
      <c r="G213" s="38">
        <f t="shared" si="10"/>
        <v>5.2591035197766618E-4</v>
      </c>
      <c r="H213" s="113">
        <f t="shared" si="11"/>
        <v>240897.48397537257</v>
      </c>
      <c r="J213" s="63"/>
      <c r="L213" s="40"/>
    </row>
    <row r="214" spans="1:12" x14ac:dyDescent="0.35">
      <c r="A214" s="34">
        <v>631</v>
      </c>
      <c r="B214" s="34" t="s">
        <v>258</v>
      </c>
      <c r="C214" s="35">
        <f>Bestämningsfaktor_kommunvis!C206</f>
        <v>2</v>
      </c>
      <c r="D214" s="61">
        <v>-157</v>
      </c>
      <c r="E214" s="61">
        <v>-162</v>
      </c>
      <c r="F214" s="61">
        <f t="shared" si="12"/>
        <v>159.5</v>
      </c>
      <c r="G214" s="38">
        <f t="shared" si="10"/>
        <v>3.6952731779928529E-4</v>
      </c>
      <c r="H214" s="113">
        <f t="shared" si="11"/>
        <v>169264.97222058117</v>
      </c>
      <c r="J214" s="63"/>
      <c r="L214" s="40"/>
    </row>
    <row r="215" spans="1:12" x14ac:dyDescent="0.35">
      <c r="A215" s="34">
        <v>635</v>
      </c>
      <c r="B215" s="34" t="s">
        <v>259</v>
      </c>
      <c r="C215" s="35">
        <f>Bestämningsfaktor_kommunvis!C207</f>
        <v>6</v>
      </c>
      <c r="D215" s="61">
        <v>-459</v>
      </c>
      <c r="E215" s="61">
        <v>-477</v>
      </c>
      <c r="F215" s="61">
        <f t="shared" si="12"/>
        <v>468</v>
      </c>
      <c r="G215" s="38">
        <f t="shared" si="10"/>
        <v>1.0842557036367744E-3</v>
      </c>
      <c r="H215" s="113">
        <f t="shared" si="11"/>
        <v>496652.08149988711</v>
      </c>
      <c r="J215" s="63"/>
      <c r="L215" s="40"/>
    </row>
    <row r="216" spans="1:12" x14ac:dyDescent="0.35">
      <c r="A216" s="34">
        <v>636</v>
      </c>
      <c r="B216" s="34" t="s">
        <v>260</v>
      </c>
      <c r="C216" s="35">
        <f>Bestämningsfaktor_kommunvis!C208</f>
        <v>2</v>
      </c>
      <c r="D216" s="61">
        <v>-614</v>
      </c>
      <c r="E216" s="61">
        <v>-611</v>
      </c>
      <c r="F216" s="61">
        <f t="shared" si="12"/>
        <v>612.5</v>
      </c>
      <c r="G216" s="38">
        <f t="shared" si="10"/>
        <v>1.419031236063086E-3</v>
      </c>
      <c r="H216" s="113">
        <f t="shared" si="11"/>
        <v>649998.71777495905</v>
      </c>
      <c r="J216" s="63"/>
      <c r="L216" s="40"/>
    </row>
    <row r="217" spans="1:12" x14ac:dyDescent="0.35">
      <c r="A217" s="34">
        <v>638</v>
      </c>
      <c r="B217" s="34" t="s">
        <v>261</v>
      </c>
      <c r="C217" s="35">
        <f>Bestämningsfaktor_kommunvis!C209</f>
        <v>34</v>
      </c>
      <c r="D217" s="61">
        <v>-4459</v>
      </c>
      <c r="E217" s="61">
        <v>-4495</v>
      </c>
      <c r="F217" s="61">
        <f t="shared" si="12"/>
        <v>4477</v>
      </c>
      <c r="G217" s="38">
        <f t="shared" si="10"/>
        <v>1.0372249540986835E-2</v>
      </c>
      <c r="H217" s="113">
        <f t="shared" si="11"/>
        <v>4751092.6685363129</v>
      </c>
      <c r="J217" s="63"/>
      <c r="L217" s="40"/>
    </row>
    <row r="218" spans="1:12" x14ac:dyDescent="0.35">
      <c r="A218" s="34">
        <v>678</v>
      </c>
      <c r="B218" s="34" t="s">
        <v>262</v>
      </c>
      <c r="C218" s="35">
        <f>Bestämningsfaktor_kommunvis!C210</f>
        <v>17</v>
      </c>
      <c r="D218" s="61">
        <v>-2571</v>
      </c>
      <c r="E218" s="61">
        <v>-2731</v>
      </c>
      <c r="F218" s="61">
        <f t="shared" si="12"/>
        <v>2651</v>
      </c>
      <c r="G218" s="38">
        <f t="shared" si="10"/>
        <v>6.14179886825019E-3</v>
      </c>
      <c r="H218" s="113">
        <f t="shared" si="11"/>
        <v>2813300.5727696596</v>
      </c>
      <c r="J218" s="63"/>
      <c r="L218" s="40"/>
    </row>
    <row r="219" spans="1:12" x14ac:dyDescent="0.35">
      <c r="A219" s="34">
        <v>680</v>
      </c>
      <c r="B219" s="34" t="s">
        <v>263</v>
      </c>
      <c r="C219" s="35">
        <f>Bestämningsfaktor_kommunvis!C211</f>
        <v>2</v>
      </c>
      <c r="D219" s="61">
        <v>-1712</v>
      </c>
      <c r="E219" s="61">
        <v>-1723</v>
      </c>
      <c r="F219" s="61">
        <f t="shared" si="12"/>
        <v>1717.5</v>
      </c>
      <c r="G219" s="38">
        <f t="shared" si="10"/>
        <v>3.9790794252054697E-3</v>
      </c>
      <c r="H219" s="113">
        <f t="shared" si="11"/>
        <v>1822649.4657608033</v>
      </c>
      <c r="J219" s="63"/>
      <c r="L219" s="40"/>
    </row>
    <row r="220" spans="1:12" x14ac:dyDescent="0.35">
      <c r="A220" s="34">
        <v>681</v>
      </c>
      <c r="B220" s="34" t="s">
        <v>264</v>
      </c>
      <c r="C220" s="35">
        <f>Bestämningsfaktor_kommunvis!C212</f>
        <v>10</v>
      </c>
      <c r="D220" s="61">
        <v>-328</v>
      </c>
      <c r="E220" s="61">
        <v>-291</v>
      </c>
      <c r="F220" s="61">
        <f t="shared" si="12"/>
        <v>309.5</v>
      </c>
      <c r="G220" s="38">
        <f t="shared" si="10"/>
        <v>7.1704517152902062E-4</v>
      </c>
      <c r="H220" s="113">
        <f t="shared" si="11"/>
        <v>328448.33167567314</v>
      </c>
      <c r="J220" s="63"/>
      <c r="L220" s="40"/>
    </row>
    <row r="221" spans="1:12" x14ac:dyDescent="0.35">
      <c r="A221" s="34">
        <v>683</v>
      </c>
      <c r="B221" s="34" t="s">
        <v>265</v>
      </c>
      <c r="C221" s="35">
        <f>Bestämningsfaktor_kommunvis!C213</f>
        <v>19</v>
      </c>
      <c r="D221" s="61">
        <v>-374</v>
      </c>
      <c r="E221" s="61">
        <v>-394</v>
      </c>
      <c r="F221" s="61">
        <f t="shared" si="12"/>
        <v>384</v>
      </c>
      <c r="G221" s="38">
        <f t="shared" si="10"/>
        <v>8.8964570554812253E-4</v>
      </c>
      <c r="H221" s="113">
        <f t="shared" si="11"/>
        <v>407509.40020503552</v>
      </c>
      <c r="J221" s="63"/>
      <c r="L221" s="40"/>
    </row>
    <row r="222" spans="1:12" x14ac:dyDescent="0.35">
      <c r="A222" s="34">
        <v>684</v>
      </c>
      <c r="B222" s="34" t="s">
        <v>266</v>
      </c>
      <c r="C222" s="35">
        <f>Bestämningsfaktor_kommunvis!C214</f>
        <v>4</v>
      </c>
      <c r="D222" s="61">
        <v>-3325</v>
      </c>
      <c r="E222" s="61">
        <v>-3630</v>
      </c>
      <c r="F222" s="61">
        <f t="shared" si="12"/>
        <v>3477.5</v>
      </c>
      <c r="G222" s="38">
        <f t="shared" si="10"/>
        <v>8.0566222423010311E-3</v>
      </c>
      <c r="H222" s="113">
        <f t="shared" si="11"/>
        <v>3690400.8833672162</v>
      </c>
      <c r="J222" s="63"/>
      <c r="L222" s="40"/>
    </row>
    <row r="223" spans="1:12" x14ac:dyDescent="0.35">
      <c r="A223" s="34">
        <v>686</v>
      </c>
      <c r="B223" s="34" t="s">
        <v>267</v>
      </c>
      <c r="C223" s="35">
        <f>Bestämningsfaktor_kommunvis!C215</f>
        <v>11</v>
      </c>
      <c r="D223" s="61">
        <v>-345</v>
      </c>
      <c r="E223" s="61">
        <v>-359</v>
      </c>
      <c r="F223" s="61">
        <f t="shared" si="12"/>
        <v>352</v>
      </c>
      <c r="G223" s="38">
        <f t="shared" si="10"/>
        <v>8.1550856341911231E-4</v>
      </c>
      <c r="H223" s="113">
        <f t="shared" si="11"/>
        <v>373550.28352128254</v>
      </c>
      <c r="J223" s="63"/>
      <c r="L223" s="40"/>
    </row>
    <row r="224" spans="1:12" x14ac:dyDescent="0.35">
      <c r="A224" s="34">
        <v>687</v>
      </c>
      <c r="B224" s="34" t="s">
        <v>268</v>
      </c>
      <c r="C224" s="35">
        <f>Bestämningsfaktor_kommunvis!C216</f>
        <v>11</v>
      </c>
      <c r="D224" s="61">
        <v>-390</v>
      </c>
      <c r="E224" s="61">
        <v>-257</v>
      </c>
      <c r="F224" s="61">
        <f t="shared" si="12"/>
        <v>323.5</v>
      </c>
      <c r="G224" s="38">
        <f t="shared" si="10"/>
        <v>7.4948017121046265E-4</v>
      </c>
      <c r="H224" s="113">
        <f t="shared" si="11"/>
        <v>343305.44522481511</v>
      </c>
      <c r="J224" s="63"/>
      <c r="L224" s="40"/>
    </row>
    <row r="225" spans="1:12" x14ac:dyDescent="0.35">
      <c r="A225" s="34">
        <v>689</v>
      </c>
      <c r="B225" s="34" t="s">
        <v>269</v>
      </c>
      <c r="C225" s="35">
        <f>Bestämningsfaktor_kommunvis!C217</f>
        <v>9</v>
      </c>
      <c r="D225" s="61">
        <v>-287</v>
      </c>
      <c r="E225" s="61">
        <v>-289</v>
      </c>
      <c r="F225" s="61">
        <f t="shared" si="12"/>
        <v>288</v>
      </c>
      <c r="G225" s="38">
        <f t="shared" si="10"/>
        <v>6.6723427916109187E-4</v>
      </c>
      <c r="H225" s="113">
        <f t="shared" si="11"/>
        <v>305632.05015377665</v>
      </c>
      <c r="J225" s="63"/>
      <c r="L225" s="40"/>
    </row>
    <row r="226" spans="1:12" x14ac:dyDescent="0.35">
      <c r="A226" s="34">
        <v>691</v>
      </c>
      <c r="B226" s="34" t="s">
        <v>270</v>
      </c>
      <c r="C226" s="35">
        <f>Bestämningsfaktor_kommunvis!C218</f>
        <v>17</v>
      </c>
      <c r="D226" s="61">
        <v>-211</v>
      </c>
      <c r="E226" s="61">
        <v>-221</v>
      </c>
      <c r="F226" s="61">
        <f t="shared" si="12"/>
        <v>216</v>
      </c>
      <c r="G226" s="38">
        <f t="shared" si="10"/>
        <v>5.004257093708189E-4</v>
      </c>
      <c r="H226" s="113">
        <f t="shared" si="11"/>
        <v>229224.03761533249</v>
      </c>
      <c r="J226" s="63"/>
      <c r="L226" s="40"/>
    </row>
    <row r="227" spans="1:12" x14ac:dyDescent="0.35">
      <c r="A227" s="34">
        <v>694</v>
      </c>
      <c r="B227" s="34" t="s">
        <v>271</v>
      </c>
      <c r="C227" s="35">
        <f>Bestämningsfaktor_kommunvis!C219</f>
        <v>5</v>
      </c>
      <c r="D227" s="61">
        <v>-2265</v>
      </c>
      <c r="E227" s="61">
        <v>-2273</v>
      </c>
      <c r="F227" s="61">
        <f t="shared" si="12"/>
        <v>2269</v>
      </c>
      <c r="G227" s="38">
        <f t="shared" si="10"/>
        <v>5.2567867340851306E-3</v>
      </c>
      <c r="H227" s="113">
        <f t="shared" si="11"/>
        <v>2407913.6173573583</v>
      </c>
      <c r="J227" s="63"/>
      <c r="L227" s="40"/>
    </row>
    <row r="228" spans="1:12" x14ac:dyDescent="0.35">
      <c r="A228" s="34">
        <v>697</v>
      </c>
      <c r="B228" s="34" t="s">
        <v>272</v>
      </c>
      <c r="C228" s="35">
        <f>Bestämningsfaktor_kommunvis!C220</f>
        <v>18</v>
      </c>
      <c r="D228" s="61">
        <v>-123</v>
      </c>
      <c r="E228" s="61">
        <v>-124</v>
      </c>
      <c r="F228" s="61">
        <f t="shared" si="12"/>
        <v>123.5</v>
      </c>
      <c r="G228" s="38">
        <f t="shared" si="10"/>
        <v>2.861230329041488E-4</v>
      </c>
      <c r="H228" s="113">
        <f t="shared" si="11"/>
        <v>131060.96595135909</v>
      </c>
      <c r="J228" s="63"/>
      <c r="L228" s="40"/>
    </row>
    <row r="229" spans="1:12" x14ac:dyDescent="0.35">
      <c r="A229" s="34">
        <v>698</v>
      </c>
      <c r="B229" s="34" t="s">
        <v>273</v>
      </c>
      <c r="C229" s="35">
        <f>Bestämningsfaktor_kommunvis!C221</f>
        <v>19</v>
      </c>
      <c r="D229" s="61">
        <v>-4673</v>
      </c>
      <c r="E229" s="61">
        <v>-4833</v>
      </c>
      <c r="F229" s="61">
        <f t="shared" si="12"/>
        <v>4753</v>
      </c>
      <c r="G229" s="38">
        <f t="shared" si="10"/>
        <v>1.1011682391849548E-2</v>
      </c>
      <c r="H229" s="113">
        <f t="shared" si="11"/>
        <v>5043990.0499336822</v>
      </c>
      <c r="J229" s="63"/>
      <c r="L229" s="40"/>
    </row>
    <row r="230" spans="1:12" x14ac:dyDescent="0.35">
      <c r="A230" s="34">
        <v>700</v>
      </c>
      <c r="B230" s="34" t="s">
        <v>274</v>
      </c>
      <c r="C230" s="35">
        <f>Bestämningsfaktor_kommunvis!C222</f>
        <v>9</v>
      </c>
      <c r="D230" s="61">
        <v>-420</v>
      </c>
      <c r="E230" s="61">
        <v>-431</v>
      </c>
      <c r="F230" s="61">
        <f t="shared" si="12"/>
        <v>425.5</v>
      </c>
      <c r="G230" s="38">
        <f t="shared" si="10"/>
        <v>9.857923117466826E-4</v>
      </c>
      <c r="H230" s="113">
        <f t="shared" si="11"/>
        <v>451550.12965427764</v>
      </c>
      <c r="J230" s="63"/>
      <c r="L230" s="40"/>
    </row>
    <row r="231" spans="1:12" x14ac:dyDescent="0.35">
      <c r="A231" s="34">
        <v>702</v>
      </c>
      <c r="B231" s="34" t="s">
        <v>275</v>
      </c>
      <c r="C231" s="35">
        <f>Bestämningsfaktor_kommunvis!C223</f>
        <v>6</v>
      </c>
      <c r="D231" s="61">
        <v>-328</v>
      </c>
      <c r="E231" s="61">
        <v>-336</v>
      </c>
      <c r="F231" s="61">
        <f t="shared" si="12"/>
        <v>332</v>
      </c>
      <c r="G231" s="38">
        <f t="shared" si="10"/>
        <v>7.6917284958848099E-4</v>
      </c>
      <c r="H231" s="113">
        <f t="shared" si="11"/>
        <v>352325.83559393696</v>
      </c>
      <c r="J231" s="63"/>
      <c r="L231" s="40"/>
    </row>
    <row r="232" spans="1:12" x14ac:dyDescent="0.35">
      <c r="A232" s="34">
        <v>704</v>
      </c>
      <c r="B232" s="34" t="s">
        <v>276</v>
      </c>
      <c r="C232" s="35">
        <f>Bestämningsfaktor_kommunvis!C224</f>
        <v>2</v>
      </c>
      <c r="D232" s="61">
        <v>-466</v>
      </c>
      <c r="E232" s="61">
        <v>-467</v>
      </c>
      <c r="F232" s="61">
        <f t="shared" si="12"/>
        <v>466.5</v>
      </c>
      <c r="G232" s="38">
        <f t="shared" si="10"/>
        <v>1.0807805250994771E-3</v>
      </c>
      <c r="H232" s="113">
        <f t="shared" si="11"/>
        <v>495060.2479053362</v>
      </c>
      <c r="J232" s="63"/>
      <c r="L232" s="40"/>
    </row>
    <row r="233" spans="1:12" x14ac:dyDescent="0.35">
      <c r="A233" s="34">
        <v>707</v>
      </c>
      <c r="B233" s="34" t="s">
        <v>277</v>
      </c>
      <c r="C233" s="35">
        <f>Bestämningsfaktor_kommunvis!C225</f>
        <v>12</v>
      </c>
      <c r="D233" s="61">
        <v>-182</v>
      </c>
      <c r="E233" s="61">
        <v>-189</v>
      </c>
      <c r="F233" s="61">
        <f t="shared" si="12"/>
        <v>185.5</v>
      </c>
      <c r="G233" s="38">
        <f t="shared" si="10"/>
        <v>4.2976374577910606E-4</v>
      </c>
      <c r="H233" s="113">
        <f t="shared" si="11"/>
        <v>196856.75452613045</v>
      </c>
      <c r="J233" s="63"/>
      <c r="L233" s="40"/>
    </row>
    <row r="234" spans="1:12" x14ac:dyDescent="0.35">
      <c r="A234" s="34">
        <v>710</v>
      </c>
      <c r="B234" s="34" t="s">
        <v>278</v>
      </c>
      <c r="C234" s="35">
        <f>Bestämningsfaktor_kommunvis!C226</f>
        <v>33</v>
      </c>
      <c r="D234" s="61">
        <v>-1825</v>
      </c>
      <c r="E234" s="61">
        <v>-1837</v>
      </c>
      <c r="F234" s="61">
        <f t="shared" si="12"/>
        <v>1831</v>
      </c>
      <c r="G234" s="38">
        <f t="shared" si="10"/>
        <v>4.2420346011943031E-3</v>
      </c>
      <c r="H234" s="113">
        <f t="shared" si="11"/>
        <v>1943098.2077484897</v>
      </c>
      <c r="J234" s="63"/>
      <c r="L234" s="40"/>
    </row>
    <row r="235" spans="1:12" x14ac:dyDescent="0.35">
      <c r="A235" s="34">
        <v>729</v>
      </c>
      <c r="B235" s="34" t="s">
        <v>279</v>
      </c>
      <c r="C235" s="35">
        <f>Bestämningsfaktor_kommunvis!C227</f>
        <v>13</v>
      </c>
      <c r="D235" s="61">
        <v>-786</v>
      </c>
      <c r="E235" s="61">
        <v>-808</v>
      </c>
      <c r="F235" s="61">
        <f t="shared" si="12"/>
        <v>797</v>
      </c>
      <c r="G235" s="38">
        <f t="shared" si="10"/>
        <v>1.8464781961506605E-3</v>
      </c>
      <c r="H235" s="113">
        <f t="shared" si="11"/>
        <v>845794.24990472221</v>
      </c>
      <c r="J235" s="63"/>
      <c r="L235" s="40"/>
    </row>
    <row r="236" spans="1:12" x14ac:dyDescent="0.35">
      <c r="A236" s="34">
        <v>732</v>
      </c>
      <c r="B236" s="34" t="s">
        <v>280</v>
      </c>
      <c r="C236" s="35">
        <f>Bestämningsfaktor_kommunvis!C228</f>
        <v>19</v>
      </c>
      <c r="D236" s="61">
        <v>-367</v>
      </c>
      <c r="E236" s="61">
        <v>-366</v>
      </c>
      <c r="F236" s="61">
        <f t="shared" si="12"/>
        <v>366.5</v>
      </c>
      <c r="G236" s="38">
        <f t="shared" si="10"/>
        <v>8.4910195594632004E-4</v>
      </c>
      <c r="H236" s="113">
        <f t="shared" si="11"/>
        <v>388938.00826860813</v>
      </c>
      <c r="J236" s="63"/>
      <c r="L236" s="40"/>
    </row>
    <row r="237" spans="1:12" x14ac:dyDescent="0.35">
      <c r="A237" s="34">
        <v>734</v>
      </c>
      <c r="B237" s="34" t="s">
        <v>281</v>
      </c>
      <c r="C237" s="35">
        <f>Bestämningsfaktor_kommunvis!C229</f>
        <v>2</v>
      </c>
      <c r="D237" s="61">
        <v>-3807</v>
      </c>
      <c r="E237" s="61">
        <v>-3849</v>
      </c>
      <c r="F237" s="61">
        <f t="shared" si="12"/>
        <v>3828</v>
      </c>
      <c r="G237" s="38">
        <f t="shared" si="10"/>
        <v>8.8686556271828469E-3</v>
      </c>
      <c r="H237" s="113">
        <f t="shared" si="11"/>
        <v>4062359.3332939483</v>
      </c>
      <c r="J237" s="63"/>
      <c r="L237" s="40"/>
    </row>
    <row r="238" spans="1:12" x14ac:dyDescent="0.35">
      <c r="A238" s="34">
        <v>738</v>
      </c>
      <c r="B238" s="34" t="s">
        <v>282</v>
      </c>
      <c r="C238" s="35">
        <f>Bestämningsfaktor_kommunvis!C230</f>
        <v>2</v>
      </c>
      <c r="D238" s="61">
        <v>-227</v>
      </c>
      <c r="E238" s="61">
        <v>-229</v>
      </c>
      <c r="F238" s="61">
        <f t="shared" si="12"/>
        <v>228</v>
      </c>
      <c r="G238" s="38">
        <f t="shared" si="10"/>
        <v>5.282271376691978E-4</v>
      </c>
      <c r="H238" s="113">
        <f t="shared" si="11"/>
        <v>241958.70637173986</v>
      </c>
      <c r="J238" s="63"/>
      <c r="L238" s="40"/>
    </row>
    <row r="239" spans="1:12" x14ac:dyDescent="0.35">
      <c r="A239" s="34">
        <v>739</v>
      </c>
      <c r="B239" s="34" t="s">
        <v>283</v>
      </c>
      <c r="C239" s="35">
        <f>Bestämningsfaktor_kommunvis!C231</f>
        <v>9</v>
      </c>
      <c r="D239" s="61">
        <v>-302</v>
      </c>
      <c r="E239" s="61">
        <v>-315</v>
      </c>
      <c r="F239" s="61">
        <f t="shared" si="12"/>
        <v>308.5</v>
      </c>
      <c r="G239" s="38">
        <f t="shared" si="10"/>
        <v>7.1472838583748911E-4</v>
      </c>
      <c r="H239" s="113">
        <f t="shared" si="11"/>
        <v>327387.10927930591</v>
      </c>
      <c r="J239" s="63"/>
      <c r="L239" s="40"/>
    </row>
    <row r="240" spans="1:12" x14ac:dyDescent="0.35">
      <c r="A240" s="34">
        <v>740</v>
      </c>
      <c r="B240" s="34" t="s">
        <v>284</v>
      </c>
      <c r="C240" s="35">
        <f>Bestämningsfaktor_kommunvis!C232</f>
        <v>10</v>
      </c>
      <c r="D240" s="61">
        <v>-2864</v>
      </c>
      <c r="E240" s="61">
        <v>-2868</v>
      </c>
      <c r="F240" s="61">
        <f t="shared" si="12"/>
        <v>2866</v>
      </c>
      <c r="G240" s="38">
        <f t="shared" si="10"/>
        <v>6.6399077919294773E-3</v>
      </c>
      <c r="H240" s="113">
        <f t="shared" si="11"/>
        <v>3041463.3879886246</v>
      </c>
      <c r="J240" s="63"/>
      <c r="L240" s="40"/>
    </row>
    <row r="241" spans="1:12" x14ac:dyDescent="0.35">
      <c r="A241" s="34">
        <v>742</v>
      </c>
      <c r="B241" s="34" t="s">
        <v>285</v>
      </c>
      <c r="C241" s="35">
        <f>Bestämningsfaktor_kommunvis!C233</f>
        <v>19</v>
      </c>
      <c r="D241" s="61">
        <v>-170</v>
      </c>
      <c r="E241" s="61">
        <v>-172</v>
      </c>
      <c r="F241" s="61">
        <f t="shared" si="12"/>
        <v>171</v>
      </c>
      <c r="G241" s="38">
        <f t="shared" si="10"/>
        <v>3.9617035325189832E-4</v>
      </c>
      <c r="H241" s="113">
        <f t="shared" si="11"/>
        <v>181469.02977880489</v>
      </c>
      <c r="J241" s="63"/>
      <c r="L241" s="40"/>
    </row>
    <row r="242" spans="1:12" x14ac:dyDescent="0.35">
      <c r="A242" s="34">
        <v>743</v>
      </c>
      <c r="B242" s="34" t="s">
        <v>286</v>
      </c>
      <c r="C242" s="35">
        <f>Bestämningsfaktor_kommunvis!C234</f>
        <v>14</v>
      </c>
      <c r="D242" s="61">
        <v>-5696</v>
      </c>
      <c r="E242" s="61">
        <v>-5891</v>
      </c>
      <c r="F242" s="61">
        <f t="shared" si="12"/>
        <v>5793.5</v>
      </c>
      <c r="G242" s="38">
        <f t="shared" si="10"/>
        <v>1.3422297903888146E-2</v>
      </c>
      <c r="H242" s="113">
        <f t="shared" si="11"/>
        <v>6148191.9533538371</v>
      </c>
      <c r="J242" s="63"/>
      <c r="L242" s="40"/>
    </row>
    <row r="243" spans="1:12" x14ac:dyDescent="0.35">
      <c r="A243" s="34">
        <v>746</v>
      </c>
      <c r="B243" s="34" t="s">
        <v>287</v>
      </c>
      <c r="C243" s="35">
        <f>Bestämningsfaktor_kommunvis!C235</f>
        <v>17</v>
      </c>
      <c r="D243" s="61">
        <v>-454</v>
      </c>
      <c r="E243" s="61">
        <v>-478</v>
      </c>
      <c r="F243" s="61">
        <f t="shared" si="12"/>
        <v>466</v>
      </c>
      <c r="G243" s="38">
        <f t="shared" si="10"/>
        <v>1.0796221322537112E-3</v>
      </c>
      <c r="H243" s="113">
        <f t="shared" si="11"/>
        <v>494529.63670715247</v>
      </c>
      <c r="J243" s="63"/>
      <c r="L243" s="40"/>
    </row>
    <row r="244" spans="1:12" x14ac:dyDescent="0.35">
      <c r="A244" s="34">
        <v>747</v>
      </c>
      <c r="B244" s="34" t="s">
        <v>288</v>
      </c>
      <c r="C244" s="35">
        <f>Bestämningsfaktor_kommunvis!C236</f>
        <v>4</v>
      </c>
      <c r="D244" s="61">
        <v>-207</v>
      </c>
      <c r="E244" s="61">
        <v>-212</v>
      </c>
      <c r="F244" s="61">
        <f t="shared" si="12"/>
        <v>209.5</v>
      </c>
      <c r="G244" s="38">
        <f t="shared" si="10"/>
        <v>4.8536660237586375E-4</v>
      </c>
      <c r="H244" s="113">
        <f t="shared" si="11"/>
        <v>222326.09203894518</v>
      </c>
      <c r="J244" s="63"/>
      <c r="L244" s="40"/>
    </row>
    <row r="245" spans="1:12" x14ac:dyDescent="0.35">
      <c r="A245" s="34">
        <v>748</v>
      </c>
      <c r="B245" s="34" t="s">
        <v>289</v>
      </c>
      <c r="C245" s="35">
        <f>Bestämningsfaktor_kommunvis!C237</f>
        <v>17</v>
      </c>
      <c r="D245" s="61">
        <v>-467</v>
      </c>
      <c r="E245" s="61">
        <v>-497</v>
      </c>
      <c r="F245" s="61">
        <f t="shared" si="12"/>
        <v>482</v>
      </c>
      <c r="G245" s="38">
        <f t="shared" si="10"/>
        <v>1.1166907033182162E-3</v>
      </c>
      <c r="H245" s="113">
        <f t="shared" si="11"/>
        <v>511509.19504902896</v>
      </c>
      <c r="J245" s="63"/>
      <c r="L245" s="40"/>
    </row>
    <row r="246" spans="1:12" x14ac:dyDescent="0.35">
      <c r="A246" s="34">
        <v>749</v>
      </c>
      <c r="B246" s="34" t="s">
        <v>290</v>
      </c>
      <c r="C246" s="35">
        <f>Bestämningsfaktor_kommunvis!C238</f>
        <v>11</v>
      </c>
      <c r="D246" s="61">
        <v>-1630</v>
      </c>
      <c r="E246" s="61">
        <v>-1663</v>
      </c>
      <c r="F246" s="61">
        <f t="shared" si="12"/>
        <v>1646.5</v>
      </c>
      <c r="G246" s="38">
        <f t="shared" si="10"/>
        <v>3.8145876411067284E-3</v>
      </c>
      <c r="H246" s="113">
        <f t="shared" si="11"/>
        <v>1747302.6756187265</v>
      </c>
      <c r="J246" s="63"/>
      <c r="L246" s="40"/>
    </row>
    <row r="247" spans="1:12" x14ac:dyDescent="0.35">
      <c r="A247" s="34">
        <v>751</v>
      </c>
      <c r="B247" s="34" t="s">
        <v>291</v>
      </c>
      <c r="C247" s="35">
        <f>Bestämningsfaktor_kommunvis!C239</f>
        <v>19</v>
      </c>
      <c r="D247" s="61">
        <v>-332</v>
      </c>
      <c r="E247" s="61">
        <v>-334</v>
      </c>
      <c r="F247" s="61">
        <f t="shared" si="12"/>
        <v>333</v>
      </c>
      <c r="G247" s="38">
        <f t="shared" si="10"/>
        <v>7.714896352800125E-4</v>
      </c>
      <c r="H247" s="113">
        <f t="shared" si="11"/>
        <v>353387.05799030425</v>
      </c>
      <c r="J247" s="63"/>
      <c r="L247" s="40"/>
    </row>
    <row r="248" spans="1:12" x14ac:dyDescent="0.35">
      <c r="A248" s="34">
        <v>753</v>
      </c>
      <c r="B248" s="34" t="s">
        <v>292</v>
      </c>
      <c r="C248" s="35">
        <f>Bestämningsfaktor_kommunvis!C240</f>
        <v>34</v>
      </c>
      <c r="D248" s="61">
        <v>-2270</v>
      </c>
      <c r="E248" s="61">
        <v>-2336</v>
      </c>
      <c r="F248" s="61">
        <f t="shared" si="12"/>
        <v>2303</v>
      </c>
      <c r="G248" s="38">
        <f t="shared" si="10"/>
        <v>5.3355574475972035E-3</v>
      </c>
      <c r="H248" s="113">
        <f t="shared" si="11"/>
        <v>2443995.178833846</v>
      </c>
      <c r="J248" s="63"/>
      <c r="L248" s="40"/>
    </row>
    <row r="249" spans="1:12" x14ac:dyDescent="0.35">
      <c r="A249" s="34">
        <v>755</v>
      </c>
      <c r="B249" s="34" t="s">
        <v>293</v>
      </c>
      <c r="C249" s="35">
        <f>Bestämningsfaktor_kommunvis!C241</f>
        <v>33</v>
      </c>
      <c r="D249" s="61">
        <v>-396</v>
      </c>
      <c r="E249" s="61">
        <v>-479</v>
      </c>
      <c r="F249" s="61">
        <f t="shared" si="12"/>
        <v>437.5</v>
      </c>
      <c r="G249" s="38">
        <f t="shared" si="10"/>
        <v>1.0135937400450614E-3</v>
      </c>
      <c r="H249" s="113">
        <f t="shared" si="11"/>
        <v>464284.79841068498</v>
      </c>
      <c r="J249" s="63"/>
      <c r="L249" s="40"/>
    </row>
    <row r="250" spans="1:12" x14ac:dyDescent="0.35">
      <c r="A250" s="34">
        <v>758</v>
      </c>
      <c r="B250" s="34" t="s">
        <v>294</v>
      </c>
      <c r="C250" s="35">
        <f>Bestämningsfaktor_kommunvis!C242</f>
        <v>19</v>
      </c>
      <c r="D250" s="61">
        <v>-874</v>
      </c>
      <c r="E250" s="61">
        <v>-897</v>
      </c>
      <c r="F250" s="61">
        <f t="shared" si="12"/>
        <v>885.5</v>
      </c>
      <c r="G250" s="38">
        <f t="shared" si="10"/>
        <v>2.0515137298512042E-3</v>
      </c>
      <c r="H250" s="113">
        <f t="shared" si="11"/>
        <v>939712.43198322633</v>
      </c>
      <c r="J250" s="63"/>
      <c r="L250" s="40"/>
    </row>
    <row r="251" spans="1:12" x14ac:dyDescent="0.35">
      <c r="A251" s="34">
        <v>759</v>
      </c>
      <c r="B251" s="34" t="s">
        <v>295</v>
      </c>
      <c r="C251" s="35">
        <f>Bestämningsfaktor_kommunvis!C243</f>
        <v>14</v>
      </c>
      <c r="D251" s="61">
        <v>-195</v>
      </c>
      <c r="E251" s="61">
        <v>-170</v>
      </c>
      <c r="F251" s="61">
        <f t="shared" si="12"/>
        <v>182.5</v>
      </c>
      <c r="G251" s="38">
        <f t="shared" si="10"/>
        <v>4.2281338870451136E-4</v>
      </c>
      <c r="H251" s="113">
        <f t="shared" si="11"/>
        <v>193673.08733702861</v>
      </c>
      <c r="J251" s="63"/>
      <c r="L251" s="40"/>
    </row>
    <row r="252" spans="1:12" x14ac:dyDescent="0.35">
      <c r="A252" s="34">
        <v>761</v>
      </c>
      <c r="B252" s="34" t="s">
        <v>296</v>
      </c>
      <c r="C252" s="35">
        <f>Bestämningsfaktor_kommunvis!C244</f>
        <v>2</v>
      </c>
      <c r="D252" s="61">
        <v>-630</v>
      </c>
      <c r="E252" s="61">
        <v>-629</v>
      </c>
      <c r="F252" s="61">
        <f t="shared" si="12"/>
        <v>629.5</v>
      </c>
      <c r="G252" s="38">
        <f t="shared" si="10"/>
        <v>1.4584165928191227E-3</v>
      </c>
      <c r="H252" s="113">
        <f t="shared" si="11"/>
        <v>668039.49851320277</v>
      </c>
      <c r="J252" s="63"/>
      <c r="L252" s="40"/>
    </row>
    <row r="253" spans="1:12" x14ac:dyDescent="0.35">
      <c r="A253" s="34">
        <v>762</v>
      </c>
      <c r="B253" s="34" t="s">
        <v>297</v>
      </c>
      <c r="C253" s="35">
        <f>Bestämningsfaktor_kommunvis!C245</f>
        <v>11</v>
      </c>
      <c r="D253" s="61">
        <v>-392</v>
      </c>
      <c r="E253" s="61">
        <v>-400</v>
      </c>
      <c r="F253" s="61">
        <f t="shared" si="12"/>
        <v>396</v>
      </c>
      <c r="G253" s="38">
        <f t="shared" si="10"/>
        <v>9.1744713384650132E-4</v>
      </c>
      <c r="H253" s="113">
        <f t="shared" si="11"/>
        <v>420244.06896144286</v>
      </c>
      <c r="J253" s="63"/>
      <c r="L253" s="40"/>
    </row>
    <row r="254" spans="1:12" x14ac:dyDescent="0.35">
      <c r="A254" s="34">
        <v>765</v>
      </c>
      <c r="B254" s="34" t="s">
        <v>298</v>
      </c>
      <c r="C254" s="35">
        <f>Bestämningsfaktor_kommunvis!C246</f>
        <v>18</v>
      </c>
      <c r="D254" s="61">
        <v>-961</v>
      </c>
      <c r="E254" s="61">
        <v>-1008</v>
      </c>
      <c r="F254" s="61">
        <f t="shared" si="12"/>
        <v>984.5</v>
      </c>
      <c r="G254" s="38">
        <f t="shared" si="10"/>
        <v>2.2808755133128297E-3</v>
      </c>
      <c r="H254" s="113">
        <f t="shared" si="11"/>
        <v>1044773.4492235872</v>
      </c>
      <c r="J254" s="63"/>
      <c r="L254" s="40"/>
    </row>
    <row r="255" spans="1:12" x14ac:dyDescent="0.35">
      <c r="A255" s="34">
        <v>768</v>
      </c>
      <c r="B255" s="34" t="s">
        <v>299</v>
      </c>
      <c r="C255" s="35">
        <f>Bestämningsfaktor_kommunvis!C247</f>
        <v>10</v>
      </c>
      <c r="D255" s="61">
        <v>-368</v>
      </c>
      <c r="E255" s="61">
        <v>-285</v>
      </c>
      <c r="F255" s="61">
        <f t="shared" si="12"/>
        <v>326.5</v>
      </c>
      <c r="G255" s="38">
        <f t="shared" si="10"/>
        <v>7.5643052828505729E-4</v>
      </c>
      <c r="H255" s="113">
        <f t="shared" si="11"/>
        <v>346489.11241391691</v>
      </c>
      <c r="J255" s="63"/>
      <c r="L255" s="40"/>
    </row>
    <row r="256" spans="1:12" x14ac:dyDescent="0.35">
      <c r="A256" s="34">
        <v>777</v>
      </c>
      <c r="B256" s="34" t="s">
        <v>300</v>
      </c>
      <c r="C256" s="35">
        <f>Bestämningsfaktor_kommunvis!C248</f>
        <v>18</v>
      </c>
      <c r="D256" s="61">
        <v>-727</v>
      </c>
      <c r="E256" s="61">
        <v>-739</v>
      </c>
      <c r="F256" s="61">
        <f t="shared" si="12"/>
        <v>733</v>
      </c>
      <c r="G256" s="38">
        <f t="shared" si="10"/>
        <v>1.6982039118926401E-3</v>
      </c>
      <c r="H256" s="113">
        <f t="shared" si="11"/>
        <v>777876.01653721626</v>
      </c>
      <c r="J256" s="63"/>
      <c r="L256" s="40"/>
    </row>
    <row r="257" spans="1:12" x14ac:dyDescent="0.35">
      <c r="A257" s="34">
        <v>778</v>
      </c>
      <c r="B257" s="34" t="s">
        <v>301</v>
      </c>
      <c r="C257" s="35">
        <f>Bestämningsfaktor_kommunvis!C249</f>
        <v>11</v>
      </c>
      <c r="D257" s="61">
        <v>-607</v>
      </c>
      <c r="E257" s="61">
        <v>-619</v>
      </c>
      <c r="F257" s="61">
        <f t="shared" si="12"/>
        <v>613</v>
      </c>
      <c r="G257" s="38">
        <f t="shared" si="10"/>
        <v>1.4201896289088519E-3</v>
      </c>
      <c r="H257" s="113">
        <f t="shared" si="11"/>
        <v>650529.32897314266</v>
      </c>
      <c r="J257" s="63"/>
      <c r="L257" s="40"/>
    </row>
    <row r="258" spans="1:12" x14ac:dyDescent="0.35">
      <c r="A258" s="34">
        <v>781</v>
      </c>
      <c r="B258" s="34" t="s">
        <v>302</v>
      </c>
      <c r="C258" s="35">
        <f>Bestämningsfaktor_kommunvis!C250</f>
        <v>7</v>
      </c>
      <c r="D258" s="61">
        <v>-285</v>
      </c>
      <c r="E258" s="61">
        <v>-279</v>
      </c>
      <c r="F258" s="61">
        <f t="shared" si="12"/>
        <v>282</v>
      </c>
      <c r="G258" s="38">
        <f t="shared" si="10"/>
        <v>6.5333356501190247E-4</v>
      </c>
      <c r="H258" s="113">
        <f t="shared" si="11"/>
        <v>299264.71577557299</v>
      </c>
      <c r="J258" s="63"/>
      <c r="L258" s="40"/>
    </row>
    <row r="259" spans="1:12" x14ac:dyDescent="0.35">
      <c r="A259" s="34">
        <v>783</v>
      </c>
      <c r="B259" s="34" t="s">
        <v>303</v>
      </c>
      <c r="C259" s="35">
        <f>Bestämningsfaktor_kommunvis!C251</f>
        <v>4</v>
      </c>
      <c r="D259" s="61">
        <v>-714</v>
      </c>
      <c r="E259" s="61">
        <v>-756</v>
      </c>
      <c r="F259" s="61">
        <f t="shared" si="12"/>
        <v>735</v>
      </c>
      <c r="G259" s="38">
        <f t="shared" si="10"/>
        <v>1.7028374832757033E-3</v>
      </c>
      <c r="H259" s="113">
        <f t="shared" si="11"/>
        <v>779998.46132995083</v>
      </c>
      <c r="J259" s="63"/>
      <c r="L259" s="40"/>
    </row>
    <row r="260" spans="1:12" x14ac:dyDescent="0.35">
      <c r="A260" s="34">
        <v>785</v>
      </c>
      <c r="B260" s="34" t="s">
        <v>304</v>
      </c>
      <c r="C260" s="35">
        <f>Bestämningsfaktor_kommunvis!C252</f>
        <v>17</v>
      </c>
      <c r="D260" s="61">
        <v>-286</v>
      </c>
      <c r="E260" s="61">
        <v>-290</v>
      </c>
      <c r="F260" s="61">
        <f t="shared" si="12"/>
        <v>288</v>
      </c>
      <c r="G260" s="38">
        <f t="shared" si="10"/>
        <v>6.6723427916109187E-4</v>
      </c>
      <c r="H260" s="113">
        <f t="shared" si="11"/>
        <v>305632.05015377665</v>
      </c>
      <c r="J260" s="63"/>
      <c r="L260" s="40"/>
    </row>
    <row r="261" spans="1:12" x14ac:dyDescent="0.35">
      <c r="A261" s="34">
        <v>790</v>
      </c>
      <c r="B261" s="34" t="s">
        <v>305</v>
      </c>
      <c r="C261" s="35">
        <f>Bestämningsfaktor_kommunvis!C253</f>
        <v>6</v>
      </c>
      <c r="D261" s="61">
        <v>-1809</v>
      </c>
      <c r="E261" s="61">
        <v>-1876</v>
      </c>
      <c r="F261" s="61">
        <f t="shared" si="12"/>
        <v>1842.5</v>
      </c>
      <c r="G261" s="38">
        <f t="shared" si="10"/>
        <v>4.268677636646916E-3</v>
      </c>
      <c r="H261" s="113">
        <f t="shared" si="11"/>
        <v>1955302.2653067135</v>
      </c>
      <c r="J261" s="63"/>
      <c r="L261" s="40"/>
    </row>
    <row r="262" spans="1:12" x14ac:dyDescent="0.35">
      <c r="A262" s="34">
        <v>791</v>
      </c>
      <c r="B262" s="34" t="s">
        <v>306</v>
      </c>
      <c r="C262" s="35">
        <f>Bestämningsfaktor_kommunvis!C254</f>
        <v>17</v>
      </c>
      <c r="D262" s="61">
        <v>-661</v>
      </c>
      <c r="E262" s="61">
        <v>-678</v>
      </c>
      <c r="F262" s="61">
        <f t="shared" si="12"/>
        <v>669.5</v>
      </c>
      <c r="G262" s="38">
        <f t="shared" si="10"/>
        <v>1.5510880204803856E-3</v>
      </c>
      <c r="H262" s="113">
        <f t="shared" si="11"/>
        <v>710488.39436789404</v>
      </c>
      <c r="J262" s="63"/>
      <c r="L262" s="40"/>
    </row>
    <row r="263" spans="1:12" x14ac:dyDescent="0.35">
      <c r="A263" s="34">
        <v>831</v>
      </c>
      <c r="B263" s="34" t="s">
        <v>307</v>
      </c>
      <c r="C263" s="35">
        <f>Bestämningsfaktor_kommunvis!C255</f>
        <v>9</v>
      </c>
      <c r="D263" s="61">
        <v>-413</v>
      </c>
      <c r="E263" s="61">
        <v>-425</v>
      </c>
      <c r="F263" s="61">
        <f t="shared" si="12"/>
        <v>419</v>
      </c>
      <c r="G263" s="38">
        <f t="shared" si="10"/>
        <v>9.707332047517275E-4</v>
      </c>
      <c r="H263" s="113">
        <f t="shared" si="11"/>
        <v>444652.18407789036</v>
      </c>
      <c r="J263" s="63"/>
      <c r="L263" s="40"/>
    </row>
    <row r="264" spans="1:12" x14ac:dyDescent="0.35">
      <c r="A264" s="34">
        <v>832</v>
      </c>
      <c r="B264" s="34" t="s">
        <v>308</v>
      </c>
      <c r="C264" s="35">
        <f>Bestämningsfaktor_kommunvis!C256</f>
        <v>17</v>
      </c>
      <c r="D264" s="61">
        <v>-318</v>
      </c>
      <c r="E264" s="61">
        <v>-278</v>
      </c>
      <c r="F264" s="61">
        <f t="shared" si="12"/>
        <v>298</v>
      </c>
      <c r="G264" s="38">
        <f t="shared" si="10"/>
        <v>6.9040213607640764E-4</v>
      </c>
      <c r="H264" s="113">
        <f t="shared" si="11"/>
        <v>316244.27411744947</v>
      </c>
      <c r="J264" s="63"/>
      <c r="L264" s="40"/>
    </row>
    <row r="265" spans="1:12" x14ac:dyDescent="0.35">
      <c r="A265" s="34">
        <v>833</v>
      </c>
      <c r="B265" s="34" t="s">
        <v>309</v>
      </c>
      <c r="C265" s="35">
        <f>Bestämningsfaktor_kommunvis!C257</f>
        <v>2</v>
      </c>
      <c r="D265" s="61">
        <v>-125</v>
      </c>
      <c r="E265" s="61">
        <v>-128</v>
      </c>
      <c r="F265" s="61">
        <f t="shared" si="12"/>
        <v>126.5</v>
      </c>
      <c r="G265" s="38">
        <f t="shared" si="10"/>
        <v>2.930733899787435E-4</v>
      </c>
      <c r="H265" s="113">
        <f t="shared" si="11"/>
        <v>134244.63314046094</v>
      </c>
      <c r="J265" s="63"/>
      <c r="L265" s="40"/>
    </row>
    <row r="266" spans="1:12" x14ac:dyDescent="0.35">
      <c r="A266" s="34">
        <v>834</v>
      </c>
      <c r="B266" s="34" t="s">
        <v>310</v>
      </c>
      <c r="C266" s="35">
        <f>Bestämningsfaktor_kommunvis!C258</f>
        <v>5</v>
      </c>
      <c r="D266" s="61">
        <v>-375</v>
      </c>
      <c r="E266" s="61">
        <v>-373</v>
      </c>
      <c r="F266" s="61">
        <f t="shared" si="12"/>
        <v>374</v>
      </c>
      <c r="G266" s="38">
        <f t="shared" si="10"/>
        <v>8.6647784863280687E-4</v>
      </c>
      <c r="H266" s="113">
        <f t="shared" si="11"/>
        <v>396897.17624136276</v>
      </c>
      <c r="J266" s="63"/>
      <c r="L266" s="40"/>
    </row>
    <row r="267" spans="1:12" x14ac:dyDescent="0.35">
      <c r="A267" s="34">
        <v>837</v>
      </c>
      <c r="B267" s="34" t="s">
        <v>311</v>
      </c>
      <c r="C267" s="35">
        <f>Bestämningsfaktor_kommunvis!C259</f>
        <v>6</v>
      </c>
      <c r="D267" s="61">
        <v>-16489</v>
      </c>
      <c r="E267" s="61">
        <v>-17405</v>
      </c>
      <c r="F267" s="61">
        <f t="shared" si="12"/>
        <v>16947</v>
      </c>
      <c r="G267" s="38">
        <f t="shared" si="10"/>
        <v>3.9262567114385499E-2</v>
      </c>
      <c r="H267" s="113">
        <f t="shared" si="11"/>
        <v>17984535.951236293</v>
      </c>
      <c r="J267" s="63"/>
      <c r="L267" s="40"/>
    </row>
    <row r="268" spans="1:12" x14ac:dyDescent="0.35">
      <c r="A268" s="34">
        <v>844</v>
      </c>
      <c r="B268" s="34" t="s">
        <v>312</v>
      </c>
      <c r="C268" s="35">
        <f>Bestämningsfaktor_kommunvis!C260</f>
        <v>11</v>
      </c>
      <c r="D268" s="61">
        <v>-75</v>
      </c>
      <c r="E268" s="61">
        <v>-161</v>
      </c>
      <c r="F268" s="61">
        <f t="shared" si="12"/>
        <v>118</v>
      </c>
      <c r="G268" s="38">
        <f t="shared" ref="G268:G306" si="13">F268/$F$12</f>
        <v>2.7338071160072516E-4</v>
      </c>
      <c r="H268" s="113">
        <f t="shared" si="11"/>
        <v>125224.24277133905</v>
      </c>
      <c r="J268" s="63"/>
      <c r="L268" s="40"/>
    </row>
    <row r="269" spans="1:12" x14ac:dyDescent="0.35">
      <c r="A269" s="34">
        <v>845</v>
      </c>
      <c r="B269" s="34" t="s">
        <v>313</v>
      </c>
      <c r="C269" s="35">
        <f>Bestämningsfaktor_kommunvis!C261</f>
        <v>19</v>
      </c>
      <c r="D269" s="61">
        <v>-273</v>
      </c>
      <c r="E269" s="61">
        <v>-297</v>
      </c>
      <c r="F269" s="61">
        <f t="shared" si="12"/>
        <v>285</v>
      </c>
      <c r="G269" s="38">
        <f t="shared" si="13"/>
        <v>6.6028392208649722E-4</v>
      </c>
      <c r="H269" s="113">
        <f t="shared" ref="H269:H306" si="14">(G269*$H$12)</f>
        <v>302448.38296467485</v>
      </c>
      <c r="J269" s="63"/>
      <c r="L269" s="40"/>
    </row>
    <row r="270" spans="1:12" x14ac:dyDescent="0.35">
      <c r="A270" s="34">
        <v>846</v>
      </c>
      <c r="B270" s="34" t="s">
        <v>314</v>
      </c>
      <c r="C270" s="35">
        <f>Bestämningsfaktor_kommunvis!C262</f>
        <v>14</v>
      </c>
      <c r="D270" s="61">
        <v>-504</v>
      </c>
      <c r="E270" s="61">
        <v>-536</v>
      </c>
      <c r="F270" s="61">
        <f t="shared" ref="F270:F306" si="15">-AVERAGE(D270:E270)</f>
        <v>520</v>
      </c>
      <c r="G270" s="38">
        <f t="shared" si="13"/>
        <v>1.2047285595964158E-3</v>
      </c>
      <c r="H270" s="113">
        <f t="shared" si="14"/>
        <v>551835.64611098554</v>
      </c>
      <c r="J270" s="63"/>
      <c r="L270" s="40"/>
    </row>
    <row r="271" spans="1:12" x14ac:dyDescent="0.35">
      <c r="A271" s="34">
        <v>848</v>
      </c>
      <c r="B271" s="34" t="s">
        <v>315</v>
      </c>
      <c r="C271" s="35">
        <f>Bestämningsfaktor_kommunvis!C263</f>
        <v>12</v>
      </c>
      <c r="D271" s="61">
        <v>-366</v>
      </c>
      <c r="E271" s="61">
        <v>-374</v>
      </c>
      <c r="F271" s="61">
        <f t="shared" si="15"/>
        <v>370</v>
      </c>
      <c r="G271" s="38">
        <f t="shared" si="13"/>
        <v>8.572107058666806E-4</v>
      </c>
      <c r="H271" s="113">
        <f t="shared" si="14"/>
        <v>392652.28665589361</v>
      </c>
      <c r="J271" s="63"/>
      <c r="L271" s="40"/>
    </row>
    <row r="272" spans="1:12" x14ac:dyDescent="0.35">
      <c r="A272" s="34">
        <v>849</v>
      </c>
      <c r="B272" s="34" t="s">
        <v>316</v>
      </c>
      <c r="C272" s="35">
        <f>Bestämningsfaktor_kommunvis!C264</f>
        <v>16</v>
      </c>
      <c r="D272" s="61">
        <v>-327</v>
      </c>
      <c r="E272" s="61">
        <v>-330</v>
      </c>
      <c r="F272" s="61">
        <f t="shared" si="15"/>
        <v>328.5</v>
      </c>
      <c r="G272" s="38">
        <f t="shared" si="13"/>
        <v>7.6106409966812043E-4</v>
      </c>
      <c r="H272" s="113">
        <f t="shared" si="14"/>
        <v>348611.55720665149</v>
      </c>
      <c r="J272" s="63"/>
      <c r="L272" s="40"/>
    </row>
    <row r="273" spans="1:12" x14ac:dyDescent="0.35">
      <c r="A273" s="34">
        <v>850</v>
      </c>
      <c r="B273" s="34" t="s">
        <v>317</v>
      </c>
      <c r="C273" s="35">
        <f>Bestämningsfaktor_kommunvis!C265</f>
        <v>13</v>
      </c>
      <c r="D273" s="61">
        <v>-190</v>
      </c>
      <c r="E273" s="61">
        <v>-193</v>
      </c>
      <c r="F273" s="61">
        <f t="shared" si="15"/>
        <v>191.5</v>
      </c>
      <c r="G273" s="38">
        <f t="shared" si="13"/>
        <v>4.4366445992829551E-4</v>
      </c>
      <c r="H273" s="113">
        <f t="shared" si="14"/>
        <v>203224.08890433414</v>
      </c>
      <c r="J273" s="63"/>
      <c r="L273" s="40"/>
    </row>
    <row r="274" spans="1:12" x14ac:dyDescent="0.35">
      <c r="A274" s="34">
        <v>851</v>
      </c>
      <c r="B274" s="34" t="s">
        <v>318</v>
      </c>
      <c r="C274" s="35">
        <f>Bestämningsfaktor_kommunvis!C266</f>
        <v>19</v>
      </c>
      <c r="D274" s="61">
        <v>-2205</v>
      </c>
      <c r="E274" s="61">
        <v>-2280</v>
      </c>
      <c r="F274" s="61">
        <f t="shared" si="15"/>
        <v>2242.5</v>
      </c>
      <c r="G274" s="38">
        <f t="shared" si="13"/>
        <v>5.1953919132595441E-3</v>
      </c>
      <c r="H274" s="113">
        <f t="shared" si="14"/>
        <v>2379791.2238536258</v>
      </c>
      <c r="J274" s="63"/>
      <c r="L274" s="40"/>
    </row>
    <row r="275" spans="1:12" x14ac:dyDescent="0.35">
      <c r="A275" s="34">
        <v>853</v>
      </c>
      <c r="B275" s="34" t="s">
        <v>319</v>
      </c>
      <c r="C275" s="35">
        <f>Bestämningsfaktor_kommunvis!C267</f>
        <v>2</v>
      </c>
      <c r="D275" s="61">
        <v>-14716</v>
      </c>
      <c r="E275" s="61">
        <v>-14200</v>
      </c>
      <c r="F275" s="61">
        <f t="shared" si="15"/>
        <v>14458</v>
      </c>
      <c r="G275" s="38">
        <f t="shared" si="13"/>
        <v>3.3496087528163423E-2</v>
      </c>
      <c r="H275" s="113">
        <f t="shared" si="14"/>
        <v>15343153.406678133</v>
      </c>
      <c r="J275" s="63"/>
      <c r="L275" s="40"/>
    </row>
    <row r="276" spans="1:12" x14ac:dyDescent="0.35">
      <c r="A276" s="34">
        <v>854</v>
      </c>
      <c r="B276" s="34" t="s">
        <v>320</v>
      </c>
      <c r="C276" s="35">
        <f>Bestämningsfaktor_kommunvis!C268</f>
        <v>19</v>
      </c>
      <c r="D276" s="61">
        <v>-362</v>
      </c>
      <c r="E276" s="61">
        <v>-361</v>
      </c>
      <c r="F276" s="61">
        <f t="shared" si="15"/>
        <v>361.5</v>
      </c>
      <c r="G276" s="38">
        <f t="shared" si="13"/>
        <v>8.3751802748866227E-4</v>
      </c>
      <c r="H276" s="113">
        <f t="shared" si="14"/>
        <v>383631.89628677175</v>
      </c>
      <c r="J276" s="63"/>
      <c r="L276" s="40"/>
    </row>
    <row r="277" spans="1:12" x14ac:dyDescent="0.35">
      <c r="A277" s="34">
        <v>857</v>
      </c>
      <c r="B277" s="34" t="s">
        <v>321</v>
      </c>
      <c r="C277" s="35">
        <f>Bestämningsfaktor_kommunvis!C269</f>
        <v>11</v>
      </c>
      <c r="D277" s="61">
        <v>-281</v>
      </c>
      <c r="E277" s="61">
        <v>-287</v>
      </c>
      <c r="F277" s="61">
        <f t="shared" si="15"/>
        <v>284</v>
      </c>
      <c r="G277" s="38">
        <f t="shared" si="13"/>
        <v>6.579671363949656E-4</v>
      </c>
      <c r="H277" s="113">
        <f t="shared" si="14"/>
        <v>301387.1605683075</v>
      </c>
      <c r="J277" s="63"/>
      <c r="L277" s="40"/>
    </row>
    <row r="278" spans="1:12" x14ac:dyDescent="0.35">
      <c r="A278" s="34">
        <v>858</v>
      </c>
      <c r="B278" s="34" t="s">
        <v>322</v>
      </c>
      <c r="C278" s="35">
        <f>Bestämningsfaktor_kommunvis!C270</f>
        <v>35</v>
      </c>
      <c r="D278" s="61">
        <v>-2366</v>
      </c>
      <c r="E278" s="61">
        <v>-2991</v>
      </c>
      <c r="F278" s="61">
        <f t="shared" si="15"/>
        <v>2678.5</v>
      </c>
      <c r="G278" s="38">
        <f t="shared" si="13"/>
        <v>6.205510474767308E-3</v>
      </c>
      <c r="H278" s="113">
        <f t="shared" si="14"/>
        <v>2842484.1886697598</v>
      </c>
      <c r="J278" s="63"/>
      <c r="L278" s="40"/>
    </row>
    <row r="279" spans="1:12" x14ac:dyDescent="0.35">
      <c r="A279" s="34">
        <v>859</v>
      </c>
      <c r="B279" s="34" t="s">
        <v>323</v>
      </c>
      <c r="C279" s="35">
        <f>Bestämningsfaktor_kommunvis!C271</f>
        <v>17</v>
      </c>
      <c r="D279" s="61">
        <v>-439</v>
      </c>
      <c r="E279" s="61">
        <v>-437</v>
      </c>
      <c r="F279" s="61">
        <f t="shared" si="15"/>
        <v>438</v>
      </c>
      <c r="G279" s="38">
        <f t="shared" si="13"/>
        <v>1.0147521328908273E-3</v>
      </c>
      <c r="H279" s="113">
        <f t="shared" si="14"/>
        <v>464815.40960886865</v>
      </c>
      <c r="J279" s="63"/>
      <c r="L279" s="40"/>
    </row>
    <row r="280" spans="1:12" x14ac:dyDescent="0.35">
      <c r="A280" s="34">
        <v>886</v>
      </c>
      <c r="B280" s="34" t="s">
        <v>324</v>
      </c>
      <c r="C280" s="35">
        <f>Bestämningsfaktor_kommunvis!C272</f>
        <v>4</v>
      </c>
      <c r="D280" s="61">
        <v>-1116</v>
      </c>
      <c r="E280" s="61">
        <v>-1216</v>
      </c>
      <c r="F280" s="61">
        <f t="shared" si="15"/>
        <v>1166</v>
      </c>
      <c r="G280" s="38">
        <f t="shared" si="13"/>
        <v>2.7013721163258097E-3</v>
      </c>
      <c r="H280" s="113">
        <f t="shared" si="14"/>
        <v>1237385.3141642485</v>
      </c>
      <c r="J280" s="63"/>
      <c r="L280" s="40"/>
    </row>
    <row r="281" spans="1:12" x14ac:dyDescent="0.35">
      <c r="A281" s="34">
        <v>887</v>
      </c>
      <c r="B281" s="34" t="s">
        <v>325</v>
      </c>
      <c r="C281" s="35">
        <f>Bestämningsfaktor_kommunvis!C273</f>
        <v>6</v>
      </c>
      <c r="D281" s="61">
        <v>-339</v>
      </c>
      <c r="E281" s="61">
        <v>-352</v>
      </c>
      <c r="F281" s="61">
        <f t="shared" si="15"/>
        <v>345.5</v>
      </c>
      <c r="G281" s="38">
        <f t="shared" si="13"/>
        <v>8.004494564241571E-4</v>
      </c>
      <c r="H281" s="113">
        <f t="shared" si="14"/>
        <v>366652.33794489526</v>
      </c>
      <c r="J281" s="63"/>
      <c r="L281" s="40"/>
    </row>
    <row r="282" spans="1:12" x14ac:dyDescent="0.35">
      <c r="A282" s="34">
        <v>889</v>
      </c>
      <c r="B282" s="34" t="s">
        <v>326</v>
      </c>
      <c r="C282" s="35">
        <f>Bestämningsfaktor_kommunvis!C274</f>
        <v>17</v>
      </c>
      <c r="D282" s="61">
        <v>-177</v>
      </c>
      <c r="E282" s="61">
        <v>-173</v>
      </c>
      <c r="F282" s="61">
        <f t="shared" si="15"/>
        <v>175</v>
      </c>
      <c r="G282" s="38">
        <f t="shared" si="13"/>
        <v>4.0543749601802459E-4</v>
      </c>
      <c r="H282" s="113">
        <f t="shared" si="14"/>
        <v>185713.91936427401</v>
      </c>
      <c r="J282" s="63"/>
      <c r="L282" s="40"/>
    </row>
    <row r="283" spans="1:12" x14ac:dyDescent="0.35">
      <c r="A283" s="34">
        <v>890</v>
      </c>
      <c r="B283" s="34" t="s">
        <v>327</v>
      </c>
      <c r="C283" s="35">
        <f>Bestämningsfaktor_kommunvis!C275</f>
        <v>19</v>
      </c>
      <c r="D283" s="61">
        <v>-184</v>
      </c>
      <c r="E283" s="61">
        <v>-185</v>
      </c>
      <c r="F283" s="61">
        <f t="shared" si="15"/>
        <v>184.5</v>
      </c>
      <c r="G283" s="38">
        <f t="shared" si="13"/>
        <v>4.2744696008757449E-4</v>
      </c>
      <c r="H283" s="113">
        <f t="shared" si="14"/>
        <v>195795.53212976316</v>
      </c>
      <c r="J283" s="63"/>
      <c r="L283" s="40"/>
    </row>
    <row r="284" spans="1:12" x14ac:dyDescent="0.35">
      <c r="A284" s="34">
        <v>892</v>
      </c>
      <c r="B284" s="34" t="s">
        <v>328</v>
      </c>
      <c r="C284" s="35">
        <f>Bestämningsfaktor_kommunvis!C276</f>
        <v>13</v>
      </c>
      <c r="D284" s="61">
        <v>-290</v>
      </c>
      <c r="E284" s="61">
        <v>-304</v>
      </c>
      <c r="F284" s="61">
        <f t="shared" si="15"/>
        <v>297</v>
      </c>
      <c r="G284" s="38">
        <f t="shared" si="13"/>
        <v>6.8808535038487602E-4</v>
      </c>
      <c r="H284" s="113">
        <f t="shared" si="14"/>
        <v>315183.05172108219</v>
      </c>
      <c r="J284" s="63"/>
      <c r="L284" s="40"/>
    </row>
    <row r="285" spans="1:12" x14ac:dyDescent="0.35">
      <c r="A285" s="34">
        <v>893</v>
      </c>
      <c r="B285" s="34" t="s">
        <v>329</v>
      </c>
      <c r="C285" s="35">
        <f>Bestämningsfaktor_kommunvis!C277</f>
        <v>15</v>
      </c>
      <c r="D285" s="61">
        <v>-563</v>
      </c>
      <c r="E285" s="61">
        <v>-540</v>
      </c>
      <c r="F285" s="61">
        <f t="shared" si="15"/>
        <v>551.5</v>
      </c>
      <c r="G285" s="38">
        <f t="shared" si="13"/>
        <v>1.2777073088796605E-3</v>
      </c>
      <c r="H285" s="113">
        <f t="shared" si="14"/>
        <v>585264.15159655502</v>
      </c>
      <c r="J285" s="63"/>
      <c r="L285" s="40"/>
    </row>
    <row r="286" spans="1:12" x14ac:dyDescent="0.35">
      <c r="A286" s="34">
        <v>895</v>
      </c>
      <c r="B286" s="34" t="s">
        <v>330</v>
      </c>
      <c r="C286" s="35">
        <f>Bestämningsfaktor_kommunvis!C278</f>
        <v>2</v>
      </c>
      <c r="D286" s="61">
        <v>-1146</v>
      </c>
      <c r="E286" s="61">
        <v>-1270</v>
      </c>
      <c r="F286" s="61">
        <f t="shared" si="15"/>
        <v>1208</v>
      </c>
      <c r="G286" s="38">
        <f t="shared" si="13"/>
        <v>2.7986771153701356E-3</v>
      </c>
      <c r="H286" s="113">
        <f t="shared" si="14"/>
        <v>1281956.6548116743</v>
      </c>
      <c r="J286" s="63"/>
      <c r="L286" s="40"/>
    </row>
    <row r="287" spans="1:12" x14ac:dyDescent="0.35">
      <c r="A287" s="34">
        <v>905</v>
      </c>
      <c r="B287" s="34" t="s">
        <v>331</v>
      </c>
      <c r="C287" s="35">
        <f>Bestämningsfaktor_kommunvis!C279</f>
        <v>15</v>
      </c>
      <c r="D287" s="61">
        <v>-5518</v>
      </c>
      <c r="E287" s="61">
        <v>-5452</v>
      </c>
      <c r="F287" s="61">
        <f t="shared" si="15"/>
        <v>5485</v>
      </c>
      <c r="G287" s="38">
        <f t="shared" si="13"/>
        <v>1.2707569518050656E-2</v>
      </c>
      <c r="H287" s="113">
        <f t="shared" si="14"/>
        <v>5820804.8440745305</v>
      </c>
      <c r="J287" s="63"/>
      <c r="L287" s="40"/>
    </row>
    <row r="288" spans="1:12" x14ac:dyDescent="0.35">
      <c r="A288" s="34">
        <v>908</v>
      </c>
      <c r="B288" s="34" t="s">
        <v>332</v>
      </c>
      <c r="C288" s="35">
        <f>Bestämningsfaktor_kommunvis!C280</f>
        <v>6</v>
      </c>
      <c r="D288" s="61">
        <v>-1510</v>
      </c>
      <c r="E288" s="61">
        <v>-1579</v>
      </c>
      <c r="F288" s="61">
        <f t="shared" si="15"/>
        <v>1544.5</v>
      </c>
      <c r="G288" s="38">
        <f t="shared" si="13"/>
        <v>3.5782755005705083E-3</v>
      </c>
      <c r="H288" s="113">
        <f t="shared" si="14"/>
        <v>1639057.991189264</v>
      </c>
      <c r="J288" s="63"/>
      <c r="L288" s="40"/>
    </row>
    <row r="289" spans="1:12" x14ac:dyDescent="0.35">
      <c r="A289" s="34">
        <v>915</v>
      </c>
      <c r="B289" s="34" t="s">
        <v>333</v>
      </c>
      <c r="C289" s="35">
        <f>Bestämningsfaktor_kommunvis!C281</f>
        <v>11</v>
      </c>
      <c r="D289" s="61">
        <v>-2532</v>
      </c>
      <c r="E289" s="61">
        <v>-2656</v>
      </c>
      <c r="F289" s="61">
        <f t="shared" si="15"/>
        <v>2594</v>
      </c>
      <c r="G289" s="38">
        <f t="shared" si="13"/>
        <v>6.0097420838328905E-3</v>
      </c>
      <c r="H289" s="113">
        <f t="shared" si="14"/>
        <v>2752810.8961767247</v>
      </c>
      <c r="J289" s="63"/>
      <c r="L289" s="40"/>
    </row>
    <row r="290" spans="1:12" x14ac:dyDescent="0.35">
      <c r="A290" s="34">
        <v>918</v>
      </c>
      <c r="B290" s="34" t="s">
        <v>334</v>
      </c>
      <c r="C290" s="35">
        <f>Bestämningsfaktor_kommunvis!C282</f>
        <v>2</v>
      </c>
      <c r="D290" s="61">
        <v>-229</v>
      </c>
      <c r="E290" s="61">
        <v>-225</v>
      </c>
      <c r="F290" s="61">
        <f t="shared" si="15"/>
        <v>227</v>
      </c>
      <c r="G290" s="38">
        <f t="shared" si="13"/>
        <v>5.2591035197766618E-4</v>
      </c>
      <c r="H290" s="113">
        <f t="shared" si="14"/>
        <v>240897.48397537257</v>
      </c>
      <c r="J290" s="63"/>
      <c r="L290" s="40"/>
    </row>
    <row r="291" spans="1:12" x14ac:dyDescent="0.35">
      <c r="A291" s="34">
        <v>921</v>
      </c>
      <c r="B291" s="34" t="s">
        <v>335</v>
      </c>
      <c r="C291" s="35">
        <f>Bestämningsfaktor_kommunvis!C283</f>
        <v>11</v>
      </c>
      <c r="D291" s="61">
        <v>-241</v>
      </c>
      <c r="E291" s="61">
        <v>-247</v>
      </c>
      <c r="F291" s="61">
        <f t="shared" si="15"/>
        <v>244</v>
      </c>
      <c r="G291" s="38">
        <f t="shared" si="13"/>
        <v>5.6529570873370286E-4</v>
      </c>
      <c r="H291" s="113">
        <f t="shared" si="14"/>
        <v>258938.26471361631</v>
      </c>
      <c r="J291" s="63"/>
      <c r="L291" s="40"/>
    </row>
    <row r="292" spans="1:12" x14ac:dyDescent="0.35">
      <c r="A292" s="34">
        <v>922</v>
      </c>
      <c r="B292" s="34" t="s">
        <v>336</v>
      </c>
      <c r="C292" s="35">
        <f>Bestämningsfaktor_kommunvis!C284</f>
        <v>6</v>
      </c>
      <c r="D292" s="61">
        <v>-308</v>
      </c>
      <c r="E292" s="61">
        <v>-323</v>
      </c>
      <c r="F292" s="61">
        <f t="shared" si="15"/>
        <v>315.5</v>
      </c>
      <c r="G292" s="38">
        <f t="shared" si="13"/>
        <v>7.3094588567821001E-4</v>
      </c>
      <c r="H292" s="113">
        <f t="shared" si="14"/>
        <v>334815.66605387686</v>
      </c>
      <c r="J292" s="63"/>
      <c r="L292" s="40"/>
    </row>
    <row r="293" spans="1:12" x14ac:dyDescent="0.35">
      <c r="A293" s="34">
        <v>924</v>
      </c>
      <c r="B293" s="34" t="s">
        <v>337</v>
      </c>
      <c r="C293" s="35">
        <f>Bestämningsfaktor_kommunvis!C285</f>
        <v>16</v>
      </c>
      <c r="D293" s="61">
        <v>-341</v>
      </c>
      <c r="E293" s="61">
        <v>-336</v>
      </c>
      <c r="F293" s="61">
        <f t="shared" si="15"/>
        <v>338.5</v>
      </c>
      <c r="G293" s="38">
        <f t="shared" si="13"/>
        <v>7.8423195658343619E-4</v>
      </c>
      <c r="H293" s="113">
        <f t="shared" si="14"/>
        <v>359223.78117032431</v>
      </c>
      <c r="J293" s="63"/>
      <c r="L293" s="40"/>
    </row>
    <row r="294" spans="1:12" x14ac:dyDescent="0.35">
      <c r="A294" s="34">
        <v>925</v>
      </c>
      <c r="B294" s="34" t="s">
        <v>338</v>
      </c>
      <c r="C294" s="35">
        <f>Bestämningsfaktor_kommunvis!C286</f>
        <v>11</v>
      </c>
      <c r="D294" s="61">
        <v>-404</v>
      </c>
      <c r="E294" s="61">
        <v>-398</v>
      </c>
      <c r="F294" s="61">
        <f t="shared" si="15"/>
        <v>401</v>
      </c>
      <c r="G294" s="38">
        <f t="shared" si="13"/>
        <v>9.290310623041592E-4</v>
      </c>
      <c r="H294" s="113">
        <f t="shared" si="14"/>
        <v>425550.18094327929</v>
      </c>
      <c r="J294" s="63"/>
      <c r="L294" s="40"/>
    </row>
    <row r="295" spans="1:12" x14ac:dyDescent="0.35">
      <c r="A295" s="34">
        <v>927</v>
      </c>
      <c r="B295" s="34" t="s">
        <v>339</v>
      </c>
      <c r="C295" s="35">
        <f>Bestämningsfaktor_kommunvis!C287</f>
        <v>33</v>
      </c>
      <c r="D295" s="61">
        <v>-1906</v>
      </c>
      <c r="E295" s="61">
        <v>-1945</v>
      </c>
      <c r="F295" s="61">
        <f t="shared" si="15"/>
        <v>1925.5</v>
      </c>
      <c r="G295" s="38">
        <f t="shared" si="13"/>
        <v>4.4609708490440363E-3</v>
      </c>
      <c r="H295" s="113">
        <f t="shared" si="14"/>
        <v>2043383.7242051978</v>
      </c>
      <c r="J295" s="63"/>
      <c r="L295" s="40"/>
    </row>
    <row r="296" spans="1:12" x14ac:dyDescent="0.35">
      <c r="A296" s="34">
        <v>931</v>
      </c>
      <c r="B296" s="34" t="s">
        <v>340</v>
      </c>
      <c r="C296" s="35">
        <f>Bestämningsfaktor_kommunvis!C288</f>
        <v>13</v>
      </c>
      <c r="D296" s="61">
        <v>-508</v>
      </c>
      <c r="E296" s="61">
        <v>-470</v>
      </c>
      <c r="F296" s="61">
        <f t="shared" si="15"/>
        <v>489</v>
      </c>
      <c r="G296" s="38">
        <f t="shared" si="13"/>
        <v>1.1329082031589373E-3</v>
      </c>
      <c r="H296" s="113">
        <f t="shared" si="14"/>
        <v>518937.75182359997</v>
      </c>
      <c r="J296" s="63"/>
      <c r="L296" s="40"/>
    </row>
    <row r="297" spans="1:12" x14ac:dyDescent="0.35">
      <c r="A297" s="34">
        <v>934</v>
      </c>
      <c r="B297" s="34" t="s">
        <v>341</v>
      </c>
      <c r="C297" s="35">
        <f>Bestämningsfaktor_kommunvis!C289</f>
        <v>14</v>
      </c>
      <c r="D297" s="61">
        <v>-276</v>
      </c>
      <c r="E297" s="61">
        <v>-282</v>
      </c>
      <c r="F297" s="61">
        <f t="shared" si="15"/>
        <v>279</v>
      </c>
      <c r="G297" s="38">
        <f t="shared" si="13"/>
        <v>6.4638320793730783E-4</v>
      </c>
      <c r="H297" s="113">
        <f t="shared" si="14"/>
        <v>296081.04858647118</v>
      </c>
      <c r="J297" s="63"/>
      <c r="L297" s="40"/>
    </row>
    <row r="298" spans="1:12" x14ac:dyDescent="0.35">
      <c r="A298" s="34">
        <v>935</v>
      </c>
      <c r="B298" s="34" t="s">
        <v>342</v>
      </c>
      <c r="C298" s="35">
        <f>Bestämningsfaktor_kommunvis!C290</f>
        <v>8</v>
      </c>
      <c r="D298" s="61">
        <v>-378</v>
      </c>
      <c r="E298" s="61">
        <v>-376</v>
      </c>
      <c r="F298" s="61">
        <f t="shared" si="15"/>
        <v>377</v>
      </c>
      <c r="G298" s="38">
        <f t="shared" si="13"/>
        <v>8.7342820570740151E-4</v>
      </c>
      <c r="H298" s="113">
        <f t="shared" si="14"/>
        <v>400080.84343046456</v>
      </c>
      <c r="J298" s="63"/>
      <c r="L298" s="40"/>
    </row>
    <row r="299" spans="1:12" x14ac:dyDescent="0.35">
      <c r="A299" s="34">
        <v>936</v>
      </c>
      <c r="B299" s="34" t="s">
        <v>343</v>
      </c>
      <c r="C299" s="35">
        <f>Bestämningsfaktor_kommunvis!C291</f>
        <v>6</v>
      </c>
      <c r="D299" s="61">
        <v>-531</v>
      </c>
      <c r="E299" s="61">
        <v>-548</v>
      </c>
      <c r="F299" s="61">
        <f t="shared" si="15"/>
        <v>539.5</v>
      </c>
      <c r="G299" s="38">
        <f t="shared" si="13"/>
        <v>1.2499058805812814E-3</v>
      </c>
      <c r="H299" s="113">
        <f t="shared" si="14"/>
        <v>572529.48284014757</v>
      </c>
      <c r="J299" s="63"/>
      <c r="L299" s="40"/>
    </row>
    <row r="300" spans="1:12" x14ac:dyDescent="0.35">
      <c r="A300" s="34">
        <v>946</v>
      </c>
      <c r="B300" s="34" t="s">
        <v>344</v>
      </c>
      <c r="C300" s="35">
        <f>Bestämningsfaktor_kommunvis!C292</f>
        <v>15</v>
      </c>
      <c r="D300" s="61">
        <v>-494</v>
      </c>
      <c r="E300" s="61">
        <v>-484</v>
      </c>
      <c r="F300" s="61">
        <f t="shared" si="15"/>
        <v>489</v>
      </c>
      <c r="G300" s="38">
        <f t="shared" si="13"/>
        <v>1.1329082031589373E-3</v>
      </c>
      <c r="H300" s="113">
        <f t="shared" si="14"/>
        <v>518937.75182359997</v>
      </c>
      <c r="J300" s="63"/>
      <c r="L300" s="40"/>
    </row>
    <row r="301" spans="1:12" x14ac:dyDescent="0.35">
      <c r="A301" s="34">
        <v>976</v>
      </c>
      <c r="B301" s="34" t="s">
        <v>345</v>
      </c>
      <c r="C301" s="35">
        <f>Bestämningsfaktor_kommunvis!C293</f>
        <v>19</v>
      </c>
      <c r="D301" s="61">
        <v>-422</v>
      </c>
      <c r="E301" s="61">
        <v>-438</v>
      </c>
      <c r="F301" s="61">
        <f t="shared" si="15"/>
        <v>430</v>
      </c>
      <c r="G301" s="38">
        <f t="shared" si="13"/>
        <v>9.9621784735857478E-4</v>
      </c>
      <c r="H301" s="113">
        <f t="shared" si="14"/>
        <v>456325.63043793046</v>
      </c>
      <c r="J301" s="63"/>
      <c r="L301" s="40"/>
    </row>
    <row r="302" spans="1:12" x14ac:dyDescent="0.35">
      <c r="A302" s="34">
        <v>977</v>
      </c>
      <c r="B302" s="34" t="s">
        <v>346</v>
      </c>
      <c r="C302" s="35">
        <f>Bestämningsfaktor_kommunvis!C294</f>
        <v>17</v>
      </c>
      <c r="D302" s="61">
        <v>-1545</v>
      </c>
      <c r="E302" s="61">
        <v>-1563</v>
      </c>
      <c r="F302" s="61">
        <f t="shared" si="15"/>
        <v>1554</v>
      </c>
      <c r="G302" s="38">
        <f t="shared" si="13"/>
        <v>3.6002849646400584E-3</v>
      </c>
      <c r="H302" s="113">
        <f t="shared" si="14"/>
        <v>1649139.6039547531</v>
      </c>
      <c r="J302" s="63"/>
      <c r="L302" s="40"/>
    </row>
    <row r="303" spans="1:12" x14ac:dyDescent="0.35">
      <c r="A303" s="34">
        <v>980</v>
      </c>
      <c r="B303" s="34" t="s">
        <v>347</v>
      </c>
      <c r="C303" s="35">
        <f>Bestämningsfaktor_kommunvis!C295</f>
        <v>6</v>
      </c>
      <c r="D303" s="61">
        <v>-2290</v>
      </c>
      <c r="E303" s="61">
        <v>-2403</v>
      </c>
      <c r="F303" s="61">
        <f t="shared" si="15"/>
        <v>2346.5</v>
      </c>
      <c r="G303" s="38">
        <f t="shared" si="13"/>
        <v>5.4363376251788265E-3</v>
      </c>
      <c r="H303" s="113">
        <f t="shared" si="14"/>
        <v>2490158.3530758223</v>
      </c>
      <c r="J303" s="63"/>
      <c r="L303" s="40"/>
    </row>
    <row r="304" spans="1:12" x14ac:dyDescent="0.35">
      <c r="A304" s="34">
        <v>981</v>
      </c>
      <c r="B304" s="34" t="s">
        <v>348</v>
      </c>
      <c r="C304" s="35">
        <f>Bestämningsfaktor_kommunvis!C296</f>
        <v>5</v>
      </c>
      <c r="D304" s="61">
        <v>-140</v>
      </c>
      <c r="E304" s="61">
        <v>-149</v>
      </c>
      <c r="F304" s="61">
        <f t="shared" si="15"/>
        <v>144.5</v>
      </c>
      <c r="G304" s="38">
        <f t="shared" si="13"/>
        <v>3.3477553242631174E-4</v>
      </c>
      <c r="H304" s="113">
        <f t="shared" si="14"/>
        <v>153346.63627507197</v>
      </c>
      <c r="J304" s="63"/>
      <c r="L304" s="40"/>
    </row>
    <row r="305" spans="1:12" x14ac:dyDescent="0.35">
      <c r="A305" s="34">
        <v>989</v>
      </c>
      <c r="B305" s="34" t="s">
        <v>349</v>
      </c>
      <c r="C305" s="35">
        <f>Bestämningsfaktor_kommunvis!C297</f>
        <v>14</v>
      </c>
      <c r="D305" s="61">
        <v>-544</v>
      </c>
      <c r="E305" s="61">
        <v>-555</v>
      </c>
      <c r="F305" s="61">
        <f t="shared" si="15"/>
        <v>549.5</v>
      </c>
      <c r="G305" s="38">
        <f t="shared" si="13"/>
        <v>1.2730737374965972E-3</v>
      </c>
      <c r="H305" s="113">
        <f t="shared" si="14"/>
        <v>583141.70680382033</v>
      </c>
      <c r="J305" s="63"/>
      <c r="L305" s="40"/>
    </row>
    <row r="306" spans="1:12" x14ac:dyDescent="0.35">
      <c r="A306" s="34">
        <v>992</v>
      </c>
      <c r="B306" s="34" t="s">
        <v>350</v>
      </c>
      <c r="C306" s="35">
        <f>Bestämningsfaktor_kommunvis!C298</f>
        <v>13</v>
      </c>
      <c r="D306" s="61">
        <v>-2651</v>
      </c>
      <c r="E306" s="61">
        <v>-2623</v>
      </c>
      <c r="F306" s="61">
        <f t="shared" si="15"/>
        <v>2637</v>
      </c>
      <c r="G306" s="38">
        <f t="shared" si="13"/>
        <v>6.1093638685687478E-3</v>
      </c>
      <c r="H306" s="113">
        <f t="shared" si="14"/>
        <v>2798443.4592205174</v>
      </c>
      <c r="J306" s="63"/>
      <c r="L306" s="40"/>
    </row>
  </sheetData>
  <mergeCells count="2">
    <mergeCell ref="D9:H9"/>
    <mergeCell ref="R6:T6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156"/>
  <sheetViews>
    <sheetView zoomScale="70" zoomScaleNormal="70" workbookViewId="0"/>
  </sheetViews>
  <sheetFormatPr defaultColWidth="8.4140625" defaultRowHeight="15.5" x14ac:dyDescent="0.35"/>
  <cols>
    <col min="1" max="1" width="27.33203125" style="3" customWidth="1"/>
    <col min="2" max="2" width="24.58203125" style="3" customWidth="1"/>
    <col min="3" max="3" width="28.1640625" style="3" customWidth="1"/>
    <col min="4" max="4" width="24.4140625" style="3" customWidth="1"/>
    <col min="5" max="5" width="17.5" style="3" customWidth="1"/>
    <col min="6" max="6" width="17.6640625" style="3" customWidth="1"/>
    <col min="7" max="7" width="18.33203125" style="3" customWidth="1"/>
    <col min="8" max="8" width="19.33203125" style="3" customWidth="1"/>
    <col min="9" max="9" width="23.5" style="3" customWidth="1"/>
    <col min="10" max="10" width="21.58203125" style="3" customWidth="1"/>
    <col min="11" max="11" width="22.08203125" style="3" customWidth="1"/>
    <col min="12" max="12" width="31.5" style="3" customWidth="1"/>
    <col min="13" max="13" width="18" style="3" customWidth="1"/>
    <col min="14" max="14" width="20.6640625" style="3" customWidth="1"/>
    <col min="15" max="15" width="11.83203125" style="5" bestFit="1" customWidth="1"/>
    <col min="16" max="16" width="12.1640625" style="5" bestFit="1" customWidth="1"/>
    <col min="17" max="17" width="18.9140625" style="5" bestFit="1" customWidth="1"/>
    <col min="18" max="18" width="17.4140625" style="5" customWidth="1"/>
    <col min="19" max="19" width="12.1640625" style="5" customWidth="1"/>
    <col min="20" max="20" width="14.1640625" style="5" customWidth="1"/>
    <col min="21" max="21" width="13.6640625" style="5" customWidth="1"/>
    <col min="22" max="22" width="11.6640625" style="5" customWidth="1"/>
    <col min="23" max="23" width="12.6640625" style="5" customWidth="1"/>
    <col min="24" max="24" width="11.1640625" style="5" customWidth="1"/>
    <col min="25" max="26" width="11.58203125" style="5" bestFit="1" customWidth="1"/>
    <col min="27" max="27" width="6.83203125" style="5" bestFit="1" customWidth="1"/>
    <col min="28" max="28" width="10.58203125" style="5" customWidth="1"/>
    <col min="29" max="29" width="12.33203125" style="5" customWidth="1"/>
    <col min="30" max="30" width="12.4140625" style="5" customWidth="1"/>
    <col min="31" max="31" width="9.6640625" style="5" bestFit="1" customWidth="1"/>
    <col min="32" max="32" width="13" style="5" customWidth="1"/>
    <col min="33" max="33" width="13.08203125" style="5" bestFit="1" customWidth="1"/>
    <col min="34" max="34" width="15.58203125" style="5" bestFit="1" customWidth="1"/>
    <col min="35" max="35" width="15.33203125" style="5" bestFit="1" customWidth="1"/>
    <col min="36" max="36" width="13" style="5" bestFit="1" customWidth="1"/>
    <col min="37" max="37" width="15.58203125" style="5" bestFit="1" customWidth="1"/>
    <col min="38" max="38" width="12.1640625" style="5" bestFit="1" customWidth="1"/>
    <col min="39" max="39" width="12.33203125" style="5" bestFit="1" customWidth="1"/>
    <col min="40" max="40" width="12.1640625" style="5" bestFit="1" customWidth="1"/>
    <col min="41" max="41" width="12.83203125" style="5" bestFit="1" customWidth="1"/>
    <col min="42" max="42" width="12.1640625" style="5" bestFit="1" customWidth="1"/>
    <col min="43" max="43" width="12.6640625" style="5" bestFit="1" customWidth="1"/>
    <col min="44" max="44" width="11.58203125" style="5" bestFit="1" customWidth="1"/>
    <col min="45" max="45" width="6.4140625" style="5" bestFit="1" customWidth="1"/>
    <col min="46" max="46" width="11.6640625" style="5" bestFit="1" customWidth="1"/>
    <col min="47" max="47" width="12.1640625" style="5" bestFit="1" customWidth="1"/>
    <col min="48" max="48" width="12.6640625" style="5" bestFit="1" customWidth="1"/>
    <col min="49" max="49" width="11.6640625" style="5" bestFit="1" customWidth="1"/>
    <col min="50" max="50" width="6.4140625" style="5" bestFit="1" customWidth="1"/>
    <col min="51" max="16384" width="8.4140625" style="5"/>
  </cols>
  <sheetData>
    <row r="1" spans="1:18" ht="18" x14ac:dyDescent="0.4">
      <c r="A1" s="257" t="s">
        <v>365</v>
      </c>
    </row>
    <row r="2" spans="1:18" x14ac:dyDescent="0.35">
      <c r="A2" s="3" t="str">
        <f>Info!A2</f>
        <v>Finansministeriet/Kommun- och regionförvaltningsavdelningen 8.12.2020</v>
      </c>
    </row>
    <row r="3" spans="1:18" x14ac:dyDescent="0.35">
      <c r="A3" s="454" t="s">
        <v>796</v>
      </c>
    </row>
    <row r="4" spans="1:18" x14ac:dyDescent="0.35">
      <c r="A4" s="454" t="s">
        <v>797</v>
      </c>
    </row>
    <row r="5" spans="1:18" x14ac:dyDescent="0.35">
      <c r="A5" s="453" t="s">
        <v>798</v>
      </c>
    </row>
    <row r="6" spans="1:18" x14ac:dyDescent="0.35">
      <c r="A6" s="453" t="s">
        <v>799</v>
      </c>
    </row>
    <row r="7" spans="1:18" x14ac:dyDescent="0.35">
      <c r="A7" s="453" t="s">
        <v>800</v>
      </c>
    </row>
    <row r="9" spans="1:18" s="3" customFormat="1" x14ac:dyDescent="0.35">
      <c r="A9" s="17" t="s">
        <v>366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R9" s="16"/>
    </row>
    <row r="10" spans="1:18" s="459" customFormat="1" ht="46.5" x14ac:dyDescent="0.3">
      <c r="A10" s="456" t="s">
        <v>367</v>
      </c>
      <c r="B10" s="457" t="s">
        <v>368</v>
      </c>
      <c r="C10" s="457" t="s">
        <v>369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8" x14ac:dyDescent="0.35">
      <c r="A11" s="113">
        <f>'Social- och hälsovårdskostnader'!R14</f>
        <v>19405236200.18</v>
      </c>
      <c r="B11" s="113">
        <f>C45</f>
        <v>5488130</v>
      </c>
      <c r="C11" s="113">
        <f>A11/B11</f>
        <v>3535.8557833323921</v>
      </c>
      <c r="J11" s="67"/>
      <c r="K11" s="67"/>
      <c r="L11" s="67"/>
      <c r="M11" s="67"/>
      <c r="N11" s="67"/>
    </row>
    <row r="12" spans="1:18" x14ac:dyDescent="0.35">
      <c r="J12" s="68"/>
      <c r="K12" s="69"/>
      <c r="L12" s="68"/>
      <c r="M12" s="68"/>
      <c r="N12" s="68"/>
    </row>
    <row r="13" spans="1:18" x14ac:dyDescent="0.35">
      <c r="A13" s="70" t="s">
        <v>370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8" s="464" customFormat="1" ht="31" x14ac:dyDescent="0.3">
      <c r="A14" s="460" t="s">
        <v>371</v>
      </c>
      <c r="B14" s="460" t="s">
        <v>372</v>
      </c>
      <c r="C14" s="460" t="s">
        <v>373</v>
      </c>
      <c r="D14" s="460" t="s">
        <v>374</v>
      </c>
      <c r="E14" s="460" t="s">
        <v>375</v>
      </c>
      <c r="F14" s="460" t="s">
        <v>376</v>
      </c>
      <c r="G14" s="461" t="s">
        <v>377</v>
      </c>
      <c r="H14" s="460" t="s">
        <v>378</v>
      </c>
      <c r="I14" s="460" t="s">
        <v>379</v>
      </c>
      <c r="J14" s="460" t="s">
        <v>380</v>
      </c>
      <c r="K14" s="460" t="s">
        <v>381</v>
      </c>
      <c r="L14" s="462" t="s">
        <v>382</v>
      </c>
      <c r="M14" s="460" t="s">
        <v>383</v>
      </c>
      <c r="N14" s="463"/>
    </row>
    <row r="15" spans="1:18" ht="31" x14ac:dyDescent="0.35">
      <c r="A15" s="73" t="s">
        <v>384</v>
      </c>
      <c r="B15" s="74">
        <v>0.13424116879309234</v>
      </c>
      <c r="C15" s="75">
        <v>0.8145</v>
      </c>
      <c r="D15" s="75">
        <f>C15*D16</f>
        <v>0.48184960020298578</v>
      </c>
      <c r="E15" s="75">
        <f>C15*E16</f>
        <v>0.16111786583926863</v>
      </c>
      <c r="F15" s="75">
        <f>C15*F16</f>
        <v>0.17153253395774545</v>
      </c>
      <c r="G15" s="74">
        <v>0.02</v>
      </c>
      <c r="H15" s="74">
        <v>5.0000000000000001E-3</v>
      </c>
      <c r="I15" s="74">
        <v>1.4999999999999999E-2</v>
      </c>
      <c r="J15" s="74">
        <v>1.1299999999999999E-3</v>
      </c>
      <c r="K15" s="74">
        <v>0.01</v>
      </c>
      <c r="L15" s="230">
        <f>L17/A11</f>
        <v>1.2883120690779381E-4</v>
      </c>
      <c r="M15" s="76">
        <f>B15+SUM(D15:L15)</f>
        <v>1</v>
      </c>
    </row>
    <row r="16" spans="1:18" x14ac:dyDescent="0.35">
      <c r="B16" s="74"/>
      <c r="C16" s="455" t="s">
        <v>801</v>
      </c>
      <c r="D16" s="77">
        <v>0.59158944162429195</v>
      </c>
      <c r="E16" s="77">
        <v>0.19781198998068586</v>
      </c>
      <c r="F16" s="77">
        <v>0.21059856839502203</v>
      </c>
      <c r="G16" s="74"/>
      <c r="H16" s="74"/>
      <c r="I16" s="74"/>
      <c r="J16" s="74"/>
      <c r="K16" s="74"/>
      <c r="L16" s="230"/>
      <c r="M16" s="76"/>
    </row>
    <row r="17" spans="1:14" x14ac:dyDescent="0.35">
      <c r="A17" s="78" t="s">
        <v>385</v>
      </c>
      <c r="B17" s="79">
        <f>B15*$A$11</f>
        <v>2604981588.2181892</v>
      </c>
      <c r="C17" s="80">
        <f>C15*A11</f>
        <v>15805564885.04661</v>
      </c>
      <c r="D17" s="80">
        <f>D15*A11</f>
        <v>9350405304.9012394</v>
      </c>
      <c r="E17" s="80">
        <f>E15*A11</f>
        <v>3126530242.6799202</v>
      </c>
      <c r="F17" s="80">
        <f>F15*A11</f>
        <v>3328629337.4654474</v>
      </c>
      <c r="G17" s="79">
        <f>G15*$A$11</f>
        <v>388104724.0036</v>
      </c>
      <c r="H17" s="79">
        <f>H15*$A$11</f>
        <v>97026181.0009</v>
      </c>
      <c r="I17" s="79">
        <f>I15*$A$11</f>
        <v>291078543.00269997</v>
      </c>
      <c r="J17" s="79">
        <f>J15*$A$11</f>
        <v>21927916.9062034</v>
      </c>
      <c r="K17" s="79">
        <f>K15*$A$11</f>
        <v>194052362.0018</v>
      </c>
      <c r="L17" s="80">
        <v>2500000</v>
      </c>
      <c r="M17" s="81">
        <f>B17+SUM(D17:L17)</f>
        <v>19405236200.18</v>
      </c>
    </row>
    <row r="18" spans="1:14" x14ac:dyDescent="0.35">
      <c r="A18" s="16" t="s">
        <v>386</v>
      </c>
      <c r="B18" s="81">
        <f>B17/B11</f>
        <v>474.65741303835534</v>
      </c>
      <c r="C18" s="9"/>
      <c r="D18" s="82">
        <f>D17/B11</f>
        <v>1703.750695574128</v>
      </c>
      <c r="E18" s="82">
        <f>E17/B11</f>
        <v>569.68953772595046</v>
      </c>
      <c r="F18" s="82">
        <f>F17/B11</f>
        <v>606.51430222415422</v>
      </c>
      <c r="G18" s="81">
        <f>G17/G45</f>
        <v>997.16533062938072</v>
      </c>
      <c r="H18" s="26">
        <f>H17/H45</f>
        <v>383.61489526936731</v>
      </c>
      <c r="I18" s="81">
        <f>I17/Taulukko17[Befolkningen 2018]</f>
        <v>53.037836749985871</v>
      </c>
      <c r="J18" s="81">
        <f>J17/J45</f>
        <v>624.42454954020559</v>
      </c>
      <c r="K18" s="81">
        <f>K15*$C$11</f>
        <v>35.358557833323921</v>
      </c>
      <c r="L18" s="26">
        <f>L17/L45</f>
        <v>1619.1709844559587</v>
      </c>
      <c r="M18" s="40"/>
    </row>
    <row r="19" spans="1:14" x14ac:dyDescent="0.35">
      <c r="A19" s="224"/>
      <c r="B19" s="219"/>
      <c r="C19" s="220"/>
      <c r="D19" s="221"/>
      <c r="E19" s="221"/>
      <c r="F19" s="221"/>
      <c r="G19" s="222"/>
      <c r="H19" s="220"/>
      <c r="I19" s="222"/>
      <c r="J19" s="222"/>
      <c r="K19" s="222"/>
      <c r="L19" s="220"/>
      <c r="M19" s="223"/>
    </row>
    <row r="20" spans="1:14" x14ac:dyDescent="0.35">
      <c r="G20" s="16"/>
      <c r="M20" s="83"/>
      <c r="N20" s="83"/>
    </row>
    <row r="21" spans="1:14" x14ac:dyDescent="0.35">
      <c r="A21" s="17" t="s">
        <v>387</v>
      </c>
      <c r="B21" s="23"/>
      <c r="C21" s="23"/>
      <c r="D21" s="23"/>
      <c r="E21" s="23"/>
      <c r="F21" s="23"/>
      <c r="G21" s="17"/>
      <c r="H21" s="84"/>
      <c r="I21" s="84"/>
      <c r="J21" s="84"/>
      <c r="K21" s="84"/>
      <c r="L21" s="84"/>
      <c r="M21" s="83"/>
      <c r="N21" s="83"/>
    </row>
    <row r="22" spans="1:14" s="459" customFormat="1" ht="62" x14ac:dyDescent="0.3">
      <c r="A22" s="468" t="s">
        <v>22</v>
      </c>
      <c r="B22" s="469" t="s">
        <v>34</v>
      </c>
      <c r="C22" s="465" t="s">
        <v>388</v>
      </c>
      <c r="D22" s="467" t="s">
        <v>389</v>
      </c>
      <c r="E22" s="467" t="s">
        <v>390</v>
      </c>
      <c r="F22" s="467" t="s">
        <v>391</v>
      </c>
      <c r="G22" s="467" t="s">
        <v>392</v>
      </c>
      <c r="H22" s="466" t="s">
        <v>393</v>
      </c>
      <c r="I22" s="465" t="s">
        <v>394</v>
      </c>
      <c r="J22" s="466" t="s">
        <v>395</v>
      </c>
      <c r="K22" s="467" t="s">
        <v>396</v>
      </c>
      <c r="L22" s="466" t="s">
        <v>397</v>
      </c>
      <c r="M22" s="470"/>
      <c r="N22" s="464"/>
    </row>
    <row r="23" spans="1:14" x14ac:dyDescent="0.35">
      <c r="A23" s="85">
        <v>31</v>
      </c>
      <c r="B23" s="27" t="s">
        <v>37</v>
      </c>
      <c r="C23" s="86">
        <f>Bestämningsfaktorer!C4</f>
        <v>648042</v>
      </c>
      <c r="D23" s="87">
        <f>'Behovskoefficienter inom hälsov'!O3</f>
        <v>0.89241220364033047</v>
      </c>
      <c r="E23" s="87">
        <f>'Behovskoefficienter inom hälsov'!P3</f>
        <v>0.72284890139480551</v>
      </c>
      <c r="F23" s="87">
        <f>'Behovskoefficienter inom hälsov'!Q3</f>
        <v>0.81213837755530593</v>
      </c>
      <c r="G23" s="86">
        <f>Bestämningsfaktorer!F4</f>
        <v>101825</v>
      </c>
      <c r="H23" s="86">
        <f>Bestämningsfaktorer!D4</f>
        <v>36533</v>
      </c>
      <c r="I23" s="88">
        <f>Bestämningsfaktorer!I4</f>
        <v>6.0007674945306757E-3</v>
      </c>
      <c r="J23" s="86">
        <f>Bestämningsfaktorer!J4</f>
        <v>0</v>
      </c>
      <c r="K23" s="88">
        <f>'Koefficienten för främjande av '!G4</f>
        <v>1.0536787509734811</v>
      </c>
      <c r="L23" s="86">
        <f>Bestämningsfaktorer!E4</f>
        <v>0</v>
      </c>
      <c r="M23" s="89"/>
      <c r="N23" s="89"/>
    </row>
    <row r="24" spans="1:14" x14ac:dyDescent="0.35">
      <c r="A24" s="85">
        <v>32</v>
      </c>
      <c r="B24" s="90" t="s">
        <v>39</v>
      </c>
      <c r="C24" s="37">
        <f>Bestämningsfaktorer!C5</f>
        <v>264420</v>
      </c>
      <c r="D24" s="87">
        <f>'Behovskoefficienter inom hälsov'!O4</f>
        <v>0.89354809838893523</v>
      </c>
      <c r="E24" s="87">
        <f>'Behovskoefficienter inom hälsov'!P4</f>
        <v>0.49607596354717259</v>
      </c>
      <c r="F24" s="87">
        <f>'Behovskoefficienter inom hälsov'!Q4</f>
        <v>0.81922293027785864</v>
      </c>
      <c r="G24" s="37">
        <f>Bestämningsfaktorer!F5</f>
        <v>47021</v>
      </c>
      <c r="H24" s="37">
        <f>Bestämningsfaktorer!D5</f>
        <v>6024</v>
      </c>
      <c r="I24" s="91">
        <f>Bestämningsfaktorer!I5</f>
        <v>1.8464906043058938E-2</v>
      </c>
      <c r="J24" s="37">
        <f>Bestämningsfaktorer!J5</f>
        <v>0</v>
      </c>
      <c r="K24" s="91">
        <f>'Koefficienten för främjande av '!G5</f>
        <v>1.1509664248709726</v>
      </c>
      <c r="L24" s="37">
        <f>Bestämningsfaktorer!E5</f>
        <v>0</v>
      </c>
      <c r="M24" s="89"/>
      <c r="N24" s="89"/>
    </row>
    <row r="25" spans="1:14" x14ac:dyDescent="0.35">
      <c r="A25" s="85">
        <v>33</v>
      </c>
      <c r="B25" s="90" t="s">
        <v>41</v>
      </c>
      <c r="C25" s="37">
        <f>Bestämningsfaktorer!C6</f>
        <v>464302</v>
      </c>
      <c r="D25" s="87">
        <f>'Behovskoefficienter inom hälsov'!O5</f>
        <v>0.86461753825840504</v>
      </c>
      <c r="E25" s="87">
        <f>'Behovskoefficienter inom hälsov'!P5</f>
        <v>0.56923489872130795</v>
      </c>
      <c r="F25" s="87">
        <f>'Behovskoefficienter inom hälsov'!Q5</f>
        <v>0.73352639040190493</v>
      </c>
      <c r="G25" s="37">
        <f>Bestämningsfaktorer!F6</f>
        <v>58165</v>
      </c>
      <c r="H25" s="37">
        <f>Bestämningsfaktorer!D6</f>
        <v>57854</v>
      </c>
      <c r="I25" s="91">
        <f>Bestämningsfaktorer!I6</f>
        <v>0.16593250795957915</v>
      </c>
      <c r="J25" s="37">
        <f>Bestämningsfaktorer!J6</f>
        <v>0</v>
      </c>
      <c r="K25" s="91">
        <f>'Koefficienten för främjande av '!G6</f>
        <v>0.94944567047224182</v>
      </c>
      <c r="L25" s="37">
        <f>Bestämningsfaktorer!E6</f>
        <v>0</v>
      </c>
      <c r="M25" s="89"/>
      <c r="N25" s="89"/>
    </row>
    <row r="26" spans="1:14" x14ac:dyDescent="0.35">
      <c r="A26" s="85">
        <v>34</v>
      </c>
      <c r="B26" s="90" t="s">
        <v>43</v>
      </c>
      <c r="C26" s="37">
        <f>Bestämningsfaktorer!C7</f>
        <v>97263</v>
      </c>
      <c r="D26" s="87">
        <f>'Behovskoefficienter inom hälsov'!O6</f>
        <v>0.97284179325453679</v>
      </c>
      <c r="E26" s="87">
        <f>'Behovskoefficienter inom hälsov'!P6</f>
        <v>0.87896682221749145</v>
      </c>
      <c r="F26" s="87">
        <f>'Behovskoefficienter inom hälsov'!Q6</f>
        <v>0.83870054877550482</v>
      </c>
      <c r="G26" s="37">
        <f>Bestämningsfaktorer!F7</f>
        <v>5441</v>
      </c>
      <c r="H26" s="37">
        <f>Bestämningsfaktorer!D7</f>
        <v>28515</v>
      </c>
      <c r="I26" s="91">
        <f>Bestämningsfaktorer!I7</f>
        <v>0.50413265124924711</v>
      </c>
      <c r="J26" s="37">
        <f>Bestämningsfaktorer!J7</f>
        <v>0</v>
      </c>
      <c r="K26" s="91">
        <f>'Koefficienten för främjande av '!G7</f>
        <v>1.1284115252923776</v>
      </c>
      <c r="L26" s="37">
        <f>Bestämningsfaktorer!E7</f>
        <v>0</v>
      </c>
      <c r="M26" s="89"/>
      <c r="N26" s="89"/>
    </row>
    <row r="27" spans="1:14" x14ac:dyDescent="0.35">
      <c r="A27" s="92">
        <v>35</v>
      </c>
      <c r="B27" s="90" t="s">
        <v>45</v>
      </c>
      <c r="C27" s="37">
        <f>Bestämningsfaktorer!C8</f>
        <v>196997</v>
      </c>
      <c r="D27" s="87">
        <f>'Behovskoefficienter inom hälsov'!O7</f>
        <v>0.93302656695326058</v>
      </c>
      <c r="E27" s="87">
        <f>'Behovskoefficienter inom hälsov'!P7</f>
        <v>0.69295697144195856</v>
      </c>
      <c r="F27" s="87">
        <f>'Behovskoefficienter inom hälsov'!Q7</f>
        <v>0.83584007958915396</v>
      </c>
      <c r="G27" s="37">
        <f>Bestämningsfaktorer!F8</f>
        <v>9952</v>
      </c>
      <c r="H27" s="37">
        <f>Bestämningsfaktorer!D8</f>
        <v>0</v>
      </c>
      <c r="I27" s="91">
        <f>Bestämningsfaktorer!I8</f>
        <v>0.15376858996144219</v>
      </c>
      <c r="J27" s="37">
        <f>Bestämningsfaktorer!J8</f>
        <v>0</v>
      </c>
      <c r="K27" s="91">
        <f>'Koefficienten för främjande av '!G8</f>
        <v>1.0731682607165365</v>
      </c>
      <c r="L27" s="37">
        <f>Bestämningsfaktorer!E8</f>
        <v>0</v>
      </c>
      <c r="M27" s="89"/>
      <c r="N27" s="89"/>
    </row>
    <row r="28" spans="1:14" x14ac:dyDescent="0.35">
      <c r="A28" s="3">
        <v>2</v>
      </c>
      <c r="B28" s="90" t="s">
        <v>47</v>
      </c>
      <c r="C28" s="37">
        <f>Bestämningsfaktorer!C9</f>
        <v>478582</v>
      </c>
      <c r="D28" s="87">
        <f>'Behovskoefficienter inom hälsov'!O8</f>
        <v>1.0239575570274924</v>
      </c>
      <c r="E28" s="87">
        <f>'Behovskoefficienter inom hälsov'!P8</f>
        <v>1.1046636505868219</v>
      </c>
      <c r="F28" s="87">
        <f>'Behovskoefficienter inom hälsov'!Q8</f>
        <v>1.0053074741995576</v>
      </c>
      <c r="G28" s="37">
        <f>Bestämningsfaktorer!F9</f>
        <v>34181</v>
      </c>
      <c r="H28" s="37">
        <f>Bestämningsfaktorer!D9</f>
        <v>27138</v>
      </c>
      <c r="I28" s="91">
        <f>Bestämningsfaktorer!I9</f>
        <v>0.40445898067088354</v>
      </c>
      <c r="J28" s="37">
        <f>Bestämningsfaktorer!J9</f>
        <v>22651</v>
      </c>
      <c r="K28" s="91">
        <f>'Koefficienten för främjande av '!G9</f>
        <v>0.8952959674026425</v>
      </c>
      <c r="L28" s="37">
        <f>Bestämningsfaktorer!E9</f>
        <v>0</v>
      </c>
      <c r="M28" s="89"/>
      <c r="N28" s="89"/>
    </row>
    <row r="29" spans="1:14" x14ac:dyDescent="0.35">
      <c r="A29" s="3">
        <v>4</v>
      </c>
      <c r="B29" s="90" t="s">
        <v>49</v>
      </c>
      <c r="C29" s="37">
        <f>Bestämningsfaktorer!C10</f>
        <v>218624</v>
      </c>
      <c r="D29" s="87">
        <f>'Behovskoefficienter inom hälsov'!O9</f>
        <v>1.0506001248828545</v>
      </c>
      <c r="E29" s="87">
        <f>'Behovskoefficienter inom hälsov'!P9</f>
        <v>1.2557101991261268</v>
      </c>
      <c r="F29" s="87">
        <f>'Behovskoefficienter inom hälsov'!Q9</f>
        <v>1.1128771604817718</v>
      </c>
      <c r="G29" s="37">
        <f>Bestämningsfaktorer!F10</f>
        <v>7632</v>
      </c>
      <c r="H29" s="37">
        <f>Bestämningsfaktorer!D10</f>
        <v>0</v>
      </c>
      <c r="I29" s="91">
        <f>Bestämningsfaktorer!I10</f>
        <v>0.64925492994275424</v>
      </c>
      <c r="J29" s="37">
        <f>Bestämningsfaktorer!J10</f>
        <v>0</v>
      </c>
      <c r="K29" s="91">
        <f>'Koefficienten för främjande av '!G10</f>
        <v>1.4229772827047953</v>
      </c>
      <c r="L29" s="37">
        <f>Bestämningsfaktorer!E10</f>
        <v>0</v>
      </c>
      <c r="M29" s="89"/>
      <c r="N29" s="89"/>
    </row>
    <row r="30" spans="1:14" x14ac:dyDescent="0.35">
      <c r="A30" s="3">
        <v>5</v>
      </c>
      <c r="B30" s="90" t="s">
        <v>51</v>
      </c>
      <c r="C30" s="37">
        <f>Bestämningsfaktorer!C11</f>
        <v>171364</v>
      </c>
      <c r="D30" s="87">
        <f>'Behovskoefficienter inom hälsov'!O10</f>
        <v>1.0626221860594238</v>
      </c>
      <c r="E30" s="87">
        <f>'Behovskoefficienter inom hälsov'!P10</f>
        <v>1.1088320114297863</v>
      </c>
      <c r="F30" s="87">
        <f>'Behovskoefficienter inom hälsov'!Q10</f>
        <v>1.0151064517312032</v>
      </c>
      <c r="G30" s="37">
        <f>Bestämningsfaktorer!F11</f>
        <v>7001</v>
      </c>
      <c r="H30" s="37">
        <f>Bestämningsfaktorer!D11</f>
        <v>0</v>
      </c>
      <c r="I30" s="91">
        <f>Bestämningsfaktorer!I11</f>
        <v>0.55064089878896605</v>
      </c>
      <c r="J30" s="37">
        <f>Bestämningsfaktorer!J11</f>
        <v>0</v>
      </c>
      <c r="K30" s="91">
        <f>'Koefficienten för främjande av '!G11</f>
        <v>0.90481727301537196</v>
      </c>
      <c r="L30" s="37">
        <f>Bestämningsfaktorer!E11</f>
        <v>0</v>
      </c>
      <c r="M30" s="89"/>
      <c r="N30" s="89"/>
    </row>
    <row r="31" spans="1:14" x14ac:dyDescent="0.35">
      <c r="A31" s="3">
        <v>6</v>
      </c>
      <c r="B31" s="90" t="s">
        <v>53</v>
      </c>
      <c r="C31" s="37">
        <f>Bestämningsfaktorer!C12</f>
        <v>517333</v>
      </c>
      <c r="D31" s="87">
        <f>'Behovskoefficienter inom hälsov'!O11</f>
        <v>1.006609582725696</v>
      </c>
      <c r="E31" s="87">
        <f>'Behovskoefficienter inom hälsov'!P11</f>
        <v>1.0275739891593054</v>
      </c>
      <c r="F31" s="87">
        <f>'Behovskoefficienter inom hälsov'!Q11</f>
        <v>0.96373234111880834</v>
      </c>
      <c r="G31" s="37">
        <f>Bestämningsfaktorer!F12</f>
        <v>24997</v>
      </c>
      <c r="H31" s="37">
        <f>Bestämningsfaktorer!D12</f>
        <v>0</v>
      </c>
      <c r="I31" s="91">
        <f>Bestämningsfaktorer!I12</f>
        <v>0.46481072912895055</v>
      </c>
      <c r="J31" s="37">
        <f>Bestämningsfaktorer!J12</f>
        <v>0</v>
      </c>
      <c r="K31" s="91">
        <f>'Koefficienten för främjande av '!G12</f>
        <v>0.92305458727144285</v>
      </c>
      <c r="L31" s="37">
        <f>Bestämningsfaktorer!E12</f>
        <v>0</v>
      </c>
      <c r="M31" s="89"/>
      <c r="N31" s="89"/>
    </row>
    <row r="32" spans="1:14" x14ac:dyDescent="0.35">
      <c r="A32" s="3">
        <v>7</v>
      </c>
      <c r="B32" s="90" t="s">
        <v>55</v>
      </c>
      <c r="C32" s="37">
        <f>Bestämningsfaktorer!C13</f>
        <v>207394</v>
      </c>
      <c r="D32" s="87">
        <f>'Behovskoefficienter inom hälsov'!O12</f>
        <v>1.0779638163745151</v>
      </c>
      <c r="E32" s="87">
        <f>'Behovskoefficienter inom hälsov'!P12</f>
        <v>1.1595487359636745</v>
      </c>
      <c r="F32" s="87">
        <f>'Behovskoefficienter inom hälsov'!Q12</f>
        <v>1.060008095610389</v>
      </c>
      <c r="G32" s="37">
        <f>Bestämningsfaktorer!F13</f>
        <v>10705</v>
      </c>
      <c r="H32" s="37">
        <f>Bestämningsfaktorer!D13</f>
        <v>0</v>
      </c>
      <c r="I32" s="91">
        <f>Bestämningsfaktorer!I13</f>
        <v>0.50003509642833099</v>
      </c>
      <c r="J32" s="37">
        <f>Bestämningsfaktorer!J13</f>
        <v>0</v>
      </c>
      <c r="K32" s="91">
        <f>'Koefficienten för främjande av '!G13</f>
        <v>0.80221616822642072</v>
      </c>
      <c r="L32" s="37">
        <f>Bestämningsfaktorer!E13</f>
        <v>0</v>
      </c>
      <c r="M32" s="89"/>
      <c r="N32" s="89"/>
    </row>
    <row r="33" spans="1:14" x14ac:dyDescent="0.35">
      <c r="A33" s="3">
        <v>8</v>
      </c>
      <c r="B33" s="90" t="s">
        <v>57</v>
      </c>
      <c r="C33" s="37">
        <f>Bestämningsfaktorer!C14</f>
        <v>166623</v>
      </c>
      <c r="D33" s="87">
        <f>'Behovskoefficienter inom hälsov'!O13</f>
        <v>1.0944176373741608</v>
      </c>
      <c r="E33" s="87">
        <f>'Behovskoefficienter inom hälsov'!P13</f>
        <v>1.4448213063665585</v>
      </c>
      <c r="F33" s="87">
        <f>'Behovskoefficienter inom hälsov'!Q13</f>
        <v>1.1320419839330578</v>
      </c>
      <c r="G33" s="37">
        <f>Bestämningsfaktorer!F14</f>
        <v>10113</v>
      </c>
      <c r="H33" s="37">
        <f>Bestämningsfaktorer!D14</f>
        <v>1273</v>
      </c>
      <c r="I33" s="91">
        <f>Bestämningsfaktorer!I14</f>
        <v>0.49664999781916436</v>
      </c>
      <c r="J33" s="37">
        <f>Bestämningsfaktorer!J14</f>
        <v>0</v>
      </c>
      <c r="K33" s="91">
        <f>'Koefficienten för främjande av '!G14</f>
        <v>1.0166870718996512</v>
      </c>
      <c r="L33" s="37">
        <f>Bestämningsfaktorer!E14</f>
        <v>0</v>
      </c>
      <c r="M33" s="89"/>
      <c r="N33" s="89"/>
    </row>
    <row r="34" spans="1:14" x14ac:dyDescent="0.35">
      <c r="A34" s="3">
        <v>9</v>
      </c>
      <c r="B34" s="90" t="s">
        <v>59</v>
      </c>
      <c r="C34" s="37">
        <f>Bestämningsfaktorer!C15</f>
        <v>128756</v>
      </c>
      <c r="D34" s="87">
        <f>'Behovskoefficienter inom hälsov'!O14</f>
        <v>1.0613129615935231</v>
      </c>
      <c r="E34" s="87">
        <f>'Behovskoefficienter inom hälsov'!P14</f>
        <v>1.2815728470063341</v>
      </c>
      <c r="F34" s="87">
        <f>'Behovskoefficienter inom hälsov'!Q14</f>
        <v>1.0561469223486342</v>
      </c>
      <c r="G34" s="37">
        <f>Bestämningsfaktorer!F15</f>
        <v>7874</v>
      </c>
      <c r="H34" s="37">
        <f>Bestämningsfaktorer!D15</f>
        <v>0</v>
      </c>
      <c r="I34" s="91">
        <f>Bestämningsfaktorer!I15</f>
        <v>0.75087642684537037</v>
      </c>
      <c r="J34" s="37">
        <f>Bestämningsfaktorer!J15</f>
        <v>0</v>
      </c>
      <c r="K34" s="91">
        <f>'Koefficienten för främjande av '!G15</f>
        <v>0.95365219745003871</v>
      </c>
      <c r="L34" s="37">
        <f>Bestämningsfaktorer!E15</f>
        <v>0</v>
      </c>
      <c r="M34" s="89"/>
      <c r="N34" s="89"/>
    </row>
    <row r="35" spans="1:14" x14ac:dyDescent="0.35">
      <c r="A35" s="3">
        <v>10</v>
      </c>
      <c r="B35" s="90" t="s">
        <v>61</v>
      </c>
      <c r="C35" s="37">
        <f>Bestämningsfaktorer!C16</f>
        <v>136474</v>
      </c>
      <c r="D35" s="87">
        <f>'Behovskoefficienter inom hälsov'!O15</f>
        <v>1.1638425402401511</v>
      </c>
      <c r="E35" s="87">
        <f>'Behovskoefficienter inom hälsov'!P15</f>
        <v>1.4949927220527712</v>
      </c>
      <c r="F35" s="87">
        <f>'Behovskoefficienter inom hälsov'!Q15</f>
        <v>1.2678842611661121</v>
      </c>
      <c r="G35" s="37">
        <f>Bestämningsfaktorer!F16</f>
        <v>4524</v>
      </c>
      <c r="H35" s="37">
        <f>Bestämningsfaktorer!D16</f>
        <v>0</v>
      </c>
      <c r="I35" s="91">
        <f>Bestämningsfaktorer!I16</f>
        <v>1.682568058642876</v>
      </c>
      <c r="J35" s="37">
        <f>Bestämningsfaktorer!J16</f>
        <v>6043</v>
      </c>
      <c r="K35" s="91">
        <f>'Koefficienten för främjande av '!G16</f>
        <v>0.99709548141590698</v>
      </c>
      <c r="L35" s="37">
        <f>Bestämningsfaktorer!E16</f>
        <v>0</v>
      </c>
      <c r="M35" s="89"/>
      <c r="N35" s="89"/>
    </row>
    <row r="36" spans="1:14" x14ac:dyDescent="0.35">
      <c r="A36" s="3">
        <v>11</v>
      </c>
      <c r="B36" s="90" t="s">
        <v>63</v>
      </c>
      <c r="C36" s="37">
        <f>Bestämningsfaktorer!C17</f>
        <v>250414</v>
      </c>
      <c r="D36" s="87">
        <f>'Behovskoefficienter inom hälsov'!O16</f>
        <v>1.1116925991579965</v>
      </c>
      <c r="E36" s="87">
        <f>'Behovskoefficienter inom hälsov'!P16</f>
        <v>1.2402824612870322</v>
      </c>
      <c r="F36" s="87">
        <f>'Behovskoefficienter inom hälsov'!Q16</f>
        <v>1.2256794367464316</v>
      </c>
      <c r="G36" s="37">
        <f>Bestämningsfaktorer!F17</f>
        <v>7523</v>
      </c>
      <c r="H36" s="37">
        <f>Bestämningsfaktorer!D17</f>
        <v>0</v>
      </c>
      <c r="I36" s="91">
        <f>Bestämningsfaktorer!I17</f>
        <v>1.2571846299090568</v>
      </c>
      <c r="J36" s="37">
        <f>Bestämningsfaktorer!J17</f>
        <v>0</v>
      </c>
      <c r="K36" s="91">
        <f>'Koefficienten för främjande av '!G17</f>
        <v>1.0294348891166114</v>
      </c>
      <c r="L36" s="37">
        <f>Bestämningsfaktorer!E17</f>
        <v>0</v>
      </c>
      <c r="M36" s="89"/>
      <c r="N36" s="89"/>
    </row>
    <row r="37" spans="1:14" x14ac:dyDescent="0.35">
      <c r="A37" s="3">
        <v>12</v>
      </c>
      <c r="B37" s="90" t="s">
        <v>65</v>
      </c>
      <c r="C37" s="37">
        <f>Bestämningsfaktorer!C18</f>
        <v>165569</v>
      </c>
      <c r="D37" s="87">
        <f>'Behovskoefficienter inom hälsov'!O17</f>
        <v>1.1301667665450521</v>
      </c>
      <c r="E37" s="87">
        <f>'Behovskoefficienter inom hälsov'!P17</f>
        <v>1.3060206935826641</v>
      </c>
      <c r="F37" s="87">
        <f>'Behovskoefficienter inom hälsov'!Q17</f>
        <v>1.3054636801033173</v>
      </c>
      <c r="G37" s="37">
        <f>Bestämningsfaktorer!F18</f>
        <v>6108</v>
      </c>
      <c r="H37" s="37">
        <f>Bestämningsfaktorer!D18</f>
        <v>0</v>
      </c>
      <c r="I37" s="91">
        <f>Bestämningsfaktorer!I18</f>
        <v>2.0599613184171783</v>
      </c>
      <c r="J37" s="37">
        <f>Bestämningsfaktorer!J18</f>
        <v>0</v>
      </c>
      <c r="K37" s="91">
        <f>'Koefficienten för främjande av '!G18</f>
        <v>0.89728619329921322</v>
      </c>
      <c r="L37" s="37">
        <f>Bestämningsfaktorer!E18</f>
        <v>0</v>
      </c>
      <c r="M37" s="89"/>
      <c r="N37" s="89"/>
    </row>
    <row r="38" spans="1:14" x14ac:dyDescent="0.35">
      <c r="A38" s="3">
        <v>13</v>
      </c>
      <c r="B38" s="90" t="s">
        <v>67</v>
      </c>
      <c r="C38" s="37">
        <f>Bestämningsfaktorer!C19</f>
        <v>273283</v>
      </c>
      <c r="D38" s="87">
        <f>'Behovskoefficienter inom hälsov'!O18</f>
        <v>1.0262279462846315</v>
      </c>
      <c r="E38" s="87">
        <f>'Behovskoefficienter inom hälsov'!P18</f>
        <v>1.0821909226624387</v>
      </c>
      <c r="F38" s="87">
        <f>'Behovskoefficienter inom hälsov'!Q18</f>
        <v>1.0675853980605949</v>
      </c>
      <c r="G38" s="37">
        <f>Bestämningsfaktorer!F19</f>
        <v>9100</v>
      </c>
      <c r="H38" s="37">
        <f>Bestämningsfaktorer!D19</f>
        <v>0</v>
      </c>
      <c r="I38" s="91">
        <f>Bestämningsfaktorer!I19</f>
        <v>1.0654700468182123</v>
      </c>
      <c r="J38" s="37">
        <f>Bestämningsfaktorer!J19</f>
        <v>0</v>
      </c>
      <c r="K38" s="91">
        <f>'Koefficienten för främjande av '!G19</f>
        <v>0.86343814401150742</v>
      </c>
      <c r="L38" s="37">
        <f>Bestämningsfaktorer!E19</f>
        <v>0</v>
      </c>
      <c r="M38" s="89"/>
      <c r="N38" s="89"/>
    </row>
    <row r="39" spans="1:14" x14ac:dyDescent="0.35">
      <c r="A39" s="3">
        <v>14</v>
      </c>
      <c r="B39" s="90" t="s">
        <v>69</v>
      </c>
      <c r="C39" s="37">
        <f>Bestämningsfaktorer!C20</f>
        <v>194316</v>
      </c>
      <c r="D39" s="87">
        <f>'Behovskoefficienter inom hälsov'!O19</f>
        <v>1.0959539007657757</v>
      </c>
      <c r="E39" s="87">
        <f>'Behovskoefficienter inom hälsov'!P19</f>
        <v>1.2813997489684481</v>
      </c>
      <c r="F39" s="87">
        <f>'Behovskoefficienter inom hälsov'!Q19</f>
        <v>1.0874824440060789</v>
      </c>
      <c r="G39" s="37">
        <f>Bestämningsfaktorer!F20</f>
        <v>4147</v>
      </c>
      <c r="H39" s="37">
        <f>Bestämningsfaktorer!D20</f>
        <v>0</v>
      </c>
      <c r="I39" s="91">
        <f>Bestämningsfaktorer!I20</f>
        <v>1.2888593149638705</v>
      </c>
      <c r="J39" s="37">
        <f>Bestämningsfaktorer!J20</f>
        <v>0</v>
      </c>
      <c r="K39" s="91">
        <f>'Koefficienten för främjande av '!G20</f>
        <v>1.0657134664906118</v>
      </c>
      <c r="L39" s="37">
        <f>Bestämningsfaktorer!E20</f>
        <v>0</v>
      </c>
      <c r="M39" s="89"/>
      <c r="N39" s="89"/>
    </row>
    <row r="40" spans="1:14" x14ac:dyDescent="0.35">
      <c r="A40" s="3">
        <v>15</v>
      </c>
      <c r="B40" s="90" t="s">
        <v>71</v>
      </c>
      <c r="C40" s="37">
        <f>Bestämningsfaktorer!C21</f>
        <v>176193</v>
      </c>
      <c r="D40" s="87">
        <f>'Behovskoefficienter inom hälsov'!O20</f>
        <v>0.9357992423271112</v>
      </c>
      <c r="E40" s="87">
        <f>'Behovskoefficienter inom hälsov'!P20</f>
        <v>0.99599930614220078</v>
      </c>
      <c r="F40" s="87">
        <f>'Behovskoefficienter inom hälsov'!Q20</f>
        <v>0.83523189478522986</v>
      </c>
      <c r="G40" s="37">
        <f>Bestämningsfaktorer!F21</f>
        <v>12209</v>
      </c>
      <c r="H40" s="37">
        <f>Bestämningsfaktorer!D21</f>
        <v>89403</v>
      </c>
      <c r="I40" s="91">
        <f>Bestämningsfaktorer!I21</f>
        <v>0.76240578412948956</v>
      </c>
      <c r="J40" s="37">
        <f>Bestämningsfaktorer!J21</f>
        <v>5456</v>
      </c>
      <c r="K40" s="91">
        <f>'Koefficienten för främjande av '!G21</f>
        <v>0.97181433268626771</v>
      </c>
      <c r="L40" s="37">
        <f>Bestämningsfaktorer!E21</f>
        <v>0</v>
      </c>
      <c r="M40" s="89"/>
      <c r="N40" s="89"/>
    </row>
    <row r="41" spans="1:14" x14ac:dyDescent="0.35">
      <c r="A41" s="3">
        <v>16</v>
      </c>
      <c r="B41" s="90" t="s">
        <v>73</v>
      </c>
      <c r="C41" s="37">
        <f>Bestämningsfaktorer!C22</f>
        <v>68437</v>
      </c>
      <c r="D41" s="87">
        <f>'Behovskoefficienter inom hälsov'!O21</f>
        <v>1.0478216485144261</v>
      </c>
      <c r="E41" s="87">
        <f>'Behovskoefficienter inom hälsov'!P21</f>
        <v>1.0994847173839453</v>
      </c>
      <c r="F41" s="87">
        <f>'Behovskoefficienter inom hälsov'!Q21</f>
        <v>1.0774884072034381</v>
      </c>
      <c r="G41" s="37">
        <f>Bestämningsfaktorer!F22</f>
        <v>1984</v>
      </c>
      <c r="H41" s="37">
        <f>Bestämningsfaktorer!D22</f>
        <v>6186</v>
      </c>
      <c r="I41" s="91">
        <f>Bestämningsfaktorer!I22</f>
        <v>1.3312601869225817</v>
      </c>
      <c r="J41" s="37">
        <f>Bestämningsfaktorer!J22</f>
        <v>0</v>
      </c>
      <c r="K41" s="91">
        <f>'Koefficienten för främjande av '!G22</f>
        <v>1.1385346149118021</v>
      </c>
      <c r="L41" s="37">
        <f>Bestämningsfaktorer!E22</f>
        <v>0</v>
      </c>
      <c r="M41" s="89"/>
      <c r="N41" s="89"/>
    </row>
    <row r="42" spans="1:14" x14ac:dyDescent="0.35">
      <c r="A42" s="3">
        <v>17</v>
      </c>
      <c r="B42" s="90" t="s">
        <v>75</v>
      </c>
      <c r="C42" s="37">
        <f>Bestämningsfaktorer!C23</f>
        <v>412161</v>
      </c>
      <c r="D42" s="87">
        <f>'Behovskoefficienter inom hälsov'!O22</f>
        <v>0.97513968722734612</v>
      </c>
      <c r="E42" s="87">
        <f>'Behovskoefficienter inom hälsov'!P22</f>
        <v>0.92761217358356762</v>
      </c>
      <c r="F42" s="87">
        <f>'Behovskoefficienter inom hälsov'!Q22</f>
        <v>1.1313287672139822</v>
      </c>
      <c r="G42" s="37">
        <f>Bestämningsfaktorer!F23</f>
        <v>11666</v>
      </c>
      <c r="H42" s="37">
        <f>Bestämningsfaktorer!D23</f>
        <v>0</v>
      </c>
      <c r="I42" s="91">
        <f>Bestämningsfaktorer!I23</f>
        <v>1.6213900124190832</v>
      </c>
      <c r="J42" s="37">
        <f>Bestämningsfaktorer!J23</f>
        <v>967</v>
      </c>
      <c r="K42" s="91">
        <f>'Koefficienten för främjande av '!G23</f>
        <v>1.0170473466215804</v>
      </c>
      <c r="L42" s="37">
        <f>Bestämningsfaktorer!E23</f>
        <v>0</v>
      </c>
      <c r="M42" s="89"/>
      <c r="N42" s="89"/>
    </row>
    <row r="43" spans="1:14" x14ac:dyDescent="0.35">
      <c r="A43" s="3">
        <v>18</v>
      </c>
      <c r="B43" s="90" t="s">
        <v>77</v>
      </c>
      <c r="C43" s="37">
        <f>Bestämningsfaktorer!C24</f>
        <v>73061</v>
      </c>
      <c r="D43" s="87">
        <f>'Behovskoefficienter inom hälsov'!O23</f>
        <v>1.1175886100262058</v>
      </c>
      <c r="E43" s="87">
        <f>'Behovskoefficienter inom hälsov'!P23</f>
        <v>1.4286811650420606</v>
      </c>
      <c r="F43" s="87">
        <f>'Behovskoefficienter inom hälsov'!Q23</f>
        <v>1.3026988399749517</v>
      </c>
      <c r="G43" s="37">
        <f>Bestämningsfaktorer!F24</f>
        <v>2002</v>
      </c>
      <c r="H43" s="37">
        <f>Bestämningsfaktorer!D24</f>
        <v>0</v>
      </c>
      <c r="I43" s="91">
        <f>Bestämningsfaktorer!I24</f>
        <v>5.0175246664997433</v>
      </c>
      <c r="J43" s="37">
        <f>Bestämningsfaktorer!J24</f>
        <v>0</v>
      </c>
      <c r="K43" s="91">
        <f>'Koefficienten för främjande av '!G24</f>
        <v>1.0980674254707687</v>
      </c>
      <c r="L43" s="37">
        <f>Bestämningsfaktorer!E24</f>
        <v>0</v>
      </c>
      <c r="M43" s="89"/>
      <c r="N43" s="89"/>
    </row>
    <row r="44" spans="1:14" x14ac:dyDescent="0.35">
      <c r="A44" s="3">
        <v>19</v>
      </c>
      <c r="B44" s="90" t="s">
        <v>79</v>
      </c>
      <c r="C44" s="37">
        <f>Bestämningsfaktorer!C25</f>
        <v>178522</v>
      </c>
      <c r="D44" s="87">
        <f>'Behovskoefficienter inom hälsov'!O24</f>
        <v>1.0677140590585847</v>
      </c>
      <c r="E44" s="87">
        <f>'Behovskoefficienter inom hälsov'!P24</f>
        <v>1.2219630857052188</v>
      </c>
      <c r="F44" s="87">
        <f>'Behovskoefficienter inom hälsov'!Q24</f>
        <v>1.318963782264106</v>
      </c>
      <c r="G44" s="37">
        <f>Bestämningsfaktorer!F25</f>
        <v>5038</v>
      </c>
      <c r="H44" s="37">
        <f>Bestämningsfaktorer!D25</f>
        <v>0</v>
      </c>
      <c r="I44" s="91">
        <f>Bestämningsfaktorer!I25</f>
        <v>9.4223376237266478</v>
      </c>
      <c r="J44" s="37">
        <f>Bestämningsfaktorer!J25</f>
        <v>0</v>
      </c>
      <c r="K44" s="91">
        <f>'Koefficienten för främjande av '!G25</f>
        <v>0.97591849654601082</v>
      </c>
      <c r="L44" s="37">
        <f>Bestämningsfaktorer!E25</f>
        <v>1544</v>
      </c>
      <c r="M44" s="89"/>
      <c r="N44" s="89"/>
    </row>
    <row r="45" spans="1:14" x14ac:dyDescent="0.35">
      <c r="B45" s="93" t="s">
        <v>35</v>
      </c>
      <c r="C45" s="66">
        <f>SUM(C23:C44)</f>
        <v>5488130</v>
      </c>
      <c r="D45" s="94">
        <v>1</v>
      </c>
      <c r="E45" s="94">
        <v>1</v>
      </c>
      <c r="F45" s="94">
        <v>1</v>
      </c>
      <c r="G45" s="66">
        <f>SUM(G23:G44)</f>
        <v>389208</v>
      </c>
      <c r="H45" s="66">
        <f>SUM(H23:H44)</f>
        <v>252926</v>
      </c>
      <c r="I45" s="95">
        <f>Bestämningsfaktorer!I26</f>
        <v>1</v>
      </c>
      <c r="J45" s="66">
        <f>SUM(J23:J44)</f>
        <v>35117</v>
      </c>
      <c r="K45" s="95">
        <f>'Koefficienten för främjande av '!G26</f>
        <v>1</v>
      </c>
      <c r="L45" s="66">
        <f>SUM(L23:L44)</f>
        <v>1544</v>
      </c>
      <c r="M45" s="89"/>
      <c r="N45" s="89"/>
    </row>
    <row r="46" spans="1:14" x14ac:dyDescent="0.35">
      <c r="B46" s="16"/>
      <c r="C46" s="81"/>
      <c r="D46" s="96"/>
      <c r="E46" s="16"/>
      <c r="F46" s="96"/>
      <c r="G46" s="81"/>
      <c r="H46" s="81"/>
      <c r="I46" s="97"/>
      <c r="J46" s="26"/>
      <c r="K46" s="97"/>
      <c r="L46" s="81"/>
      <c r="M46" s="89"/>
      <c r="N46" s="89"/>
    </row>
    <row r="47" spans="1:14" x14ac:dyDescent="0.35">
      <c r="B47" s="16"/>
      <c r="C47" s="81"/>
      <c r="D47" s="96"/>
      <c r="E47" s="16"/>
      <c r="F47" s="96"/>
      <c r="G47" s="81"/>
      <c r="H47" s="81"/>
      <c r="I47" s="97"/>
      <c r="J47" s="26"/>
      <c r="K47" s="97"/>
      <c r="L47" s="81"/>
      <c r="M47" s="89"/>
      <c r="N47" s="89"/>
    </row>
    <row r="48" spans="1:14" x14ac:dyDescent="0.35">
      <c r="A48" s="17" t="s">
        <v>398</v>
      </c>
      <c r="B48" s="17"/>
      <c r="C48" s="17"/>
      <c r="D48" s="17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s="464" customFormat="1" ht="31" x14ac:dyDescent="0.3">
      <c r="A49" s="460" t="s">
        <v>22</v>
      </c>
      <c r="B49" s="460" t="s">
        <v>34</v>
      </c>
      <c r="C49" s="460" t="s">
        <v>372</v>
      </c>
      <c r="D49" s="460" t="s">
        <v>374</v>
      </c>
      <c r="E49" s="460" t="s">
        <v>375</v>
      </c>
      <c r="F49" s="460" t="s">
        <v>376</v>
      </c>
      <c r="G49" s="461" t="s">
        <v>377</v>
      </c>
      <c r="H49" s="460" t="s">
        <v>378</v>
      </c>
      <c r="I49" s="460" t="s">
        <v>379</v>
      </c>
      <c r="J49" s="460" t="s">
        <v>380</v>
      </c>
      <c r="K49" s="460" t="s">
        <v>381</v>
      </c>
      <c r="L49" s="462" t="s">
        <v>382</v>
      </c>
      <c r="M49" s="471" t="s">
        <v>399</v>
      </c>
      <c r="N49" s="472" t="s">
        <v>400</v>
      </c>
    </row>
    <row r="50" spans="1:14" x14ac:dyDescent="0.35">
      <c r="A50" s="99">
        <v>31</v>
      </c>
      <c r="B50" s="100" t="s">
        <v>37</v>
      </c>
      <c r="C50" s="63">
        <f>C23*B$18</f>
        <v>307597939.26020187</v>
      </c>
      <c r="D50" s="63">
        <f>D23*$D$18*C23</f>
        <v>985314106.23613572</v>
      </c>
      <c r="E50" s="63">
        <f t="shared" ref="E50:E71" si="0">E23*$E$18*C23</f>
        <v>266863343.37706622</v>
      </c>
      <c r="F50" s="63">
        <f t="shared" ref="F50:F71" si="1">F23*$F$18*C23</f>
        <v>319208342.89806134</v>
      </c>
      <c r="G50" s="63">
        <f>G23*G$18</f>
        <v>101536359.79133669</v>
      </c>
      <c r="H50" s="63">
        <f>H23*$H$18</f>
        <v>14014602.968875796</v>
      </c>
      <c r="I50" s="63">
        <f>I23*$I$18*$C23</f>
        <v>206250.85417822524</v>
      </c>
      <c r="J50" s="63">
        <f t="shared" ref="J50:J71" si="2">J23*$J$18</f>
        <v>0</v>
      </c>
      <c r="K50" s="63">
        <f t="shared" ref="K50:K71" si="3">K23*K$18*$C23</f>
        <v>24143816.338582415</v>
      </c>
      <c r="L50" s="63">
        <f t="shared" ref="L50:L71" si="4">$L$18*L23</f>
        <v>0</v>
      </c>
      <c r="M50" s="101">
        <f>SUM(Taulukko7[[#This Row],[Invånarbaserad andel]:[Samiskspråkighet]])</f>
        <v>2018884761.7244384</v>
      </c>
      <c r="N50" s="26">
        <f t="shared" ref="N50:N72" si="5">M50/C23</f>
        <v>3115.3609823505858</v>
      </c>
    </row>
    <row r="51" spans="1:14" x14ac:dyDescent="0.35">
      <c r="A51" s="99">
        <v>32</v>
      </c>
      <c r="B51" s="100" t="s">
        <v>39</v>
      </c>
      <c r="C51" s="63">
        <f t="shared" ref="C51:C71" si="6">C24*B$18</f>
        <v>125508913.15560192</v>
      </c>
      <c r="D51" s="63">
        <f t="shared" ref="D51:D71" si="7">D24*$D$18*C24</f>
        <v>402548564.19954598</v>
      </c>
      <c r="E51" s="63">
        <f t="shared" si="0"/>
        <v>74727547.49670513</v>
      </c>
      <c r="F51" s="63">
        <f t="shared" si="1"/>
        <v>131382477.4938525</v>
      </c>
      <c r="G51" s="63">
        <f t="shared" ref="G51:G71" si="8">G24*G$18</f>
        <v>46887711.011524111</v>
      </c>
      <c r="H51" s="63">
        <f t="shared" ref="H51:H71" si="9">H24*$H$18</f>
        <v>2310896.1291026687</v>
      </c>
      <c r="I51" s="63">
        <f t="shared" ref="I51:I71" si="10">I24*$I$18*$C24</f>
        <v>258956.73173368766</v>
      </c>
      <c r="J51" s="63">
        <f t="shared" si="2"/>
        <v>0</v>
      </c>
      <c r="K51" s="63">
        <f t="shared" si="3"/>
        <v>10760971.940492956</v>
      </c>
      <c r="L51" s="63">
        <f t="shared" si="4"/>
        <v>0</v>
      </c>
      <c r="M51" s="101">
        <f>SUM(Taulukko7[[#This Row],[Invånarbaserad andel]:[Samiskspråkighet]])</f>
        <v>794386038.15855896</v>
      </c>
      <c r="N51" s="26">
        <f t="shared" si="5"/>
        <v>3004.2585211351598</v>
      </c>
    </row>
    <row r="52" spans="1:14" x14ac:dyDescent="0.35">
      <c r="A52" s="99">
        <v>33</v>
      </c>
      <c r="B52" s="100" t="s">
        <v>41</v>
      </c>
      <c r="C52" s="63">
        <f t="shared" si="6"/>
        <v>220384386.18853447</v>
      </c>
      <c r="D52" s="63">
        <f t="shared" si="7"/>
        <v>683959901.75212181</v>
      </c>
      <c r="E52" s="63">
        <f t="shared" si="0"/>
        <v>150567179.89207497</v>
      </c>
      <c r="F52" s="63">
        <f t="shared" si="1"/>
        <v>206565288.5951978</v>
      </c>
      <c r="G52" s="63">
        <f t="shared" si="8"/>
        <v>58000121.456057929</v>
      </c>
      <c r="H52" s="63">
        <f t="shared" si="9"/>
        <v>22193656.150913976</v>
      </c>
      <c r="I52" s="63">
        <f t="shared" si="10"/>
        <v>4086183.2004487533</v>
      </c>
      <c r="J52" s="63">
        <f t="shared" si="2"/>
        <v>0</v>
      </c>
      <c r="K52" s="63">
        <f t="shared" si="3"/>
        <v>15587096.208086176</v>
      </c>
      <c r="L52" s="63">
        <f t="shared" si="4"/>
        <v>0</v>
      </c>
      <c r="M52" s="101">
        <f>SUM(Taulukko7[[#This Row],[Invånarbaserad andel]:[Samiskspråkighet]])</f>
        <v>1361343813.4434359</v>
      </c>
      <c r="N52" s="26">
        <f t="shared" si="5"/>
        <v>2932.0222903270628</v>
      </c>
    </row>
    <row r="53" spans="1:14" x14ac:dyDescent="0.35">
      <c r="A53" s="99">
        <v>34</v>
      </c>
      <c r="B53" s="100" t="s">
        <v>43</v>
      </c>
      <c r="C53" s="63">
        <f t="shared" si="6"/>
        <v>46166603.964349553</v>
      </c>
      <c r="D53" s="63">
        <f t="shared" si="7"/>
        <v>161211465.75722739</v>
      </c>
      <c r="E53" s="63">
        <f t="shared" si="0"/>
        <v>48703299.801966965</v>
      </c>
      <c r="F53" s="63">
        <f t="shared" si="1"/>
        <v>49476120.037156679</v>
      </c>
      <c r="G53" s="63">
        <f t="shared" si="8"/>
        <v>5425576.5639544604</v>
      </c>
      <c r="H53" s="63">
        <f t="shared" si="9"/>
        <v>10938778.73860601</v>
      </c>
      <c r="I53" s="63">
        <f t="shared" si="10"/>
        <v>2600628.3316402961</v>
      </c>
      <c r="J53" s="63">
        <f t="shared" si="2"/>
        <v>0</v>
      </c>
      <c r="K53" s="63">
        <f t="shared" si="3"/>
        <v>3880696.8432519692</v>
      </c>
      <c r="L53" s="63">
        <f t="shared" si="4"/>
        <v>0</v>
      </c>
      <c r="M53" s="101">
        <f>SUM(Taulukko7[[#This Row],[Invånarbaserad andel]:[Samiskspråkighet]])</f>
        <v>328403170.03815335</v>
      </c>
      <c r="N53" s="26">
        <f t="shared" si="5"/>
        <v>3376.4450000324209</v>
      </c>
    </row>
    <row r="54" spans="1:14" x14ac:dyDescent="0.35">
      <c r="A54" s="102">
        <v>35</v>
      </c>
      <c r="B54" s="103" t="s">
        <v>45</v>
      </c>
      <c r="C54" s="45">
        <f t="shared" si="6"/>
        <v>93506086.396316886</v>
      </c>
      <c r="D54" s="45">
        <f t="shared" si="7"/>
        <v>313155229.56585711</v>
      </c>
      <c r="E54" s="45">
        <f t="shared" si="0"/>
        <v>77768572.023764402</v>
      </c>
      <c r="F54" s="45">
        <f t="shared" si="1"/>
        <v>99867424.793782532</v>
      </c>
      <c r="G54" s="45">
        <f t="shared" si="8"/>
        <v>9923789.3704235964</v>
      </c>
      <c r="H54" s="45">
        <f t="shared" si="9"/>
        <v>0</v>
      </c>
      <c r="I54" s="45">
        <f t="shared" si="10"/>
        <v>1606619.547555031</v>
      </c>
      <c r="J54" s="63">
        <f t="shared" si="2"/>
        <v>0</v>
      </c>
      <c r="K54" s="45">
        <f t="shared" si="3"/>
        <v>7475185.5192063255</v>
      </c>
      <c r="L54" s="45">
        <f t="shared" si="4"/>
        <v>0</v>
      </c>
      <c r="M54" s="101">
        <f>SUM(Taulukko7[[#This Row],[Invånarbaserad andel]:[Samiskspråkighet]])</f>
        <v>603302907.21690595</v>
      </c>
      <c r="N54" s="104">
        <f t="shared" si="5"/>
        <v>3062.4979426940813</v>
      </c>
    </row>
    <row r="55" spans="1:14" x14ac:dyDescent="0.35">
      <c r="A55" s="3">
        <v>2</v>
      </c>
      <c r="B55" s="16" t="s">
        <v>47</v>
      </c>
      <c r="C55" s="63">
        <f t="shared" si="6"/>
        <v>227162494.04672217</v>
      </c>
      <c r="D55" s="63">
        <f t="shared" si="7"/>
        <v>834919034.02027404</v>
      </c>
      <c r="E55" s="63">
        <f t="shared" si="0"/>
        <v>301178986.60376072</v>
      </c>
      <c r="F55" s="63">
        <f t="shared" si="1"/>
        <v>291807411.4865073</v>
      </c>
      <c r="G55" s="63">
        <f t="shared" si="8"/>
        <v>34084108.16624286</v>
      </c>
      <c r="H55" s="63">
        <f t="shared" si="9"/>
        <v>10410541.02782009</v>
      </c>
      <c r="I55" s="63">
        <f t="shared" si="10"/>
        <v>10266363.696192803</v>
      </c>
      <c r="J55" s="63">
        <f t="shared" si="2"/>
        <v>14143840.471635196</v>
      </c>
      <c r="K55" s="63">
        <f t="shared" si="3"/>
        <v>15150170.89717282</v>
      </c>
      <c r="L55" s="63">
        <f t="shared" si="4"/>
        <v>0</v>
      </c>
      <c r="M55" s="101">
        <f>SUM(Taulukko7[[#This Row],[Invånarbaserad andel]:[Samiskspråkighet]])</f>
        <v>1739122950.416328</v>
      </c>
      <c r="N55" s="81">
        <f t="shared" si="5"/>
        <v>3633.9079832010561</v>
      </c>
    </row>
    <row r="56" spans="1:14" x14ac:dyDescent="0.35">
      <c r="A56" s="3">
        <v>4</v>
      </c>
      <c r="B56" s="16" t="s">
        <v>49</v>
      </c>
      <c r="C56" s="63">
        <f t="shared" si="6"/>
        <v>103771502.2680974</v>
      </c>
      <c r="D56" s="63">
        <f t="shared" si="7"/>
        <v>391328366.66436416</v>
      </c>
      <c r="E56" s="63">
        <f t="shared" si="0"/>
        <v>156395949.63985085</v>
      </c>
      <c r="F56" s="63">
        <f t="shared" si="1"/>
        <v>147565934.32089168</v>
      </c>
      <c r="G56" s="63">
        <f t="shared" si="8"/>
        <v>7610365.803363434</v>
      </c>
      <c r="H56" s="63">
        <f t="shared" si="9"/>
        <v>0</v>
      </c>
      <c r="I56" s="63">
        <f t="shared" si="10"/>
        <v>7528334.270424813</v>
      </c>
      <c r="J56" s="63">
        <f t="shared" si="2"/>
        <v>0</v>
      </c>
      <c r="K56" s="63">
        <f t="shared" si="3"/>
        <v>10999940.751949871</v>
      </c>
      <c r="L56" s="63">
        <f t="shared" si="4"/>
        <v>0</v>
      </c>
      <c r="M56" s="101">
        <f>SUM(Taulukko7[[#This Row],[Invånarbaserad andel]:[Samiskspråkighet]])</f>
        <v>825200393.71894217</v>
      </c>
      <c r="N56" s="81">
        <f t="shared" si="5"/>
        <v>3774.5187798180536</v>
      </c>
    </row>
    <row r="57" spans="1:14" x14ac:dyDescent="0.35">
      <c r="A57" s="3">
        <v>5</v>
      </c>
      <c r="B57" s="16" t="s">
        <v>51</v>
      </c>
      <c r="C57" s="63">
        <f t="shared" si="6"/>
        <v>81339192.927904725</v>
      </c>
      <c r="D57" s="63">
        <f t="shared" si="7"/>
        <v>310244803.71300447</v>
      </c>
      <c r="E57" s="63">
        <f t="shared" si="0"/>
        <v>108248924.47577281</v>
      </c>
      <c r="F57" s="63">
        <f t="shared" si="1"/>
        <v>105504801.67017972</v>
      </c>
      <c r="G57" s="63">
        <f t="shared" si="8"/>
        <v>6981154.4797362946</v>
      </c>
      <c r="H57" s="63">
        <f t="shared" si="9"/>
        <v>0</v>
      </c>
      <c r="I57" s="63">
        <f t="shared" si="10"/>
        <v>5004651.706693341</v>
      </c>
      <c r="J57" s="63">
        <f t="shared" si="2"/>
        <v>0</v>
      </c>
      <c r="K57" s="63">
        <f t="shared" si="3"/>
        <v>5482454.2572133122</v>
      </c>
      <c r="L57" s="63">
        <f t="shared" si="4"/>
        <v>0</v>
      </c>
      <c r="M57" s="101">
        <f>SUM(Taulukko7[[#This Row],[Invånarbaserad andel]:[Samiskspråkighet]])</f>
        <v>622805983.23050463</v>
      </c>
      <c r="N57" s="81">
        <f t="shared" si="5"/>
        <v>3634.403860965574</v>
      </c>
    </row>
    <row r="58" spans="1:14" x14ac:dyDescent="0.35">
      <c r="A58" s="3">
        <v>6</v>
      </c>
      <c r="B58" s="16" t="s">
        <v>53</v>
      </c>
      <c r="C58" s="63">
        <f t="shared" si="6"/>
        <v>245555943.45937148</v>
      </c>
      <c r="D58" s="63">
        <f t="shared" si="7"/>
        <v>887232187.49648654</v>
      </c>
      <c r="E58" s="63">
        <f t="shared" si="0"/>
        <v>302845781.58060271</v>
      </c>
      <c r="F58" s="63">
        <f t="shared" si="1"/>
        <v>302390165.13545793</v>
      </c>
      <c r="G58" s="63">
        <f t="shared" si="8"/>
        <v>24926141.76974263</v>
      </c>
      <c r="H58" s="63">
        <f t="shared" si="9"/>
        <v>0</v>
      </c>
      <c r="I58" s="63">
        <f t="shared" si="10"/>
        <v>12753580.531306909</v>
      </c>
      <c r="J58" s="63">
        <f t="shared" si="2"/>
        <v>0</v>
      </c>
      <c r="K58" s="63">
        <f t="shared" si="3"/>
        <v>16884651.860510565</v>
      </c>
      <c r="L58" s="63">
        <f t="shared" si="4"/>
        <v>0</v>
      </c>
      <c r="M58" s="101">
        <f>SUM(Taulukko7[[#This Row],[Invånarbaserad andel]:[Samiskspråkighet]])</f>
        <v>1792588451.8334789</v>
      </c>
      <c r="N58" s="81">
        <f t="shared" si="5"/>
        <v>3465.0572297407643</v>
      </c>
    </row>
    <row r="59" spans="1:14" x14ac:dyDescent="0.35">
      <c r="A59" s="3">
        <v>7</v>
      </c>
      <c r="B59" s="16" t="s">
        <v>55</v>
      </c>
      <c r="C59" s="63">
        <f t="shared" si="6"/>
        <v>98441099.51967667</v>
      </c>
      <c r="D59" s="63">
        <f t="shared" si="7"/>
        <v>380896004.75519609</v>
      </c>
      <c r="E59" s="63">
        <f t="shared" si="0"/>
        <v>137000905.77254876</v>
      </c>
      <c r="F59" s="63">
        <f t="shared" si="1"/>
        <v>133335691.15320721</v>
      </c>
      <c r="G59" s="63">
        <f t="shared" si="8"/>
        <v>10674654.864387522</v>
      </c>
      <c r="H59" s="63">
        <f t="shared" si="9"/>
        <v>0</v>
      </c>
      <c r="I59" s="63">
        <f t="shared" si="10"/>
        <v>5500250.6086678272</v>
      </c>
      <c r="J59" s="63">
        <f t="shared" si="2"/>
        <v>0</v>
      </c>
      <c r="K59" s="63">
        <f t="shared" si="3"/>
        <v>5882773.6947366623</v>
      </c>
      <c r="L59" s="63">
        <f t="shared" si="4"/>
        <v>0</v>
      </c>
      <c r="M59" s="101">
        <f>SUM(Taulukko7[[#This Row],[Invånarbaserad andel]:[Samiskspråkighet]])</f>
        <v>771731380.36842084</v>
      </c>
      <c r="N59" s="81">
        <f t="shared" si="5"/>
        <v>3721.0882685536749</v>
      </c>
    </row>
    <row r="60" spans="1:14" x14ac:dyDescent="0.35">
      <c r="A60" s="3">
        <v>8</v>
      </c>
      <c r="B60" s="16" t="s">
        <v>57</v>
      </c>
      <c r="C60" s="63">
        <f t="shared" si="6"/>
        <v>79088842.132689878</v>
      </c>
      <c r="D60" s="63">
        <f t="shared" si="7"/>
        <v>310687713.64072633</v>
      </c>
      <c r="E60" s="63">
        <f t="shared" si="0"/>
        <v>137147321.6716755</v>
      </c>
      <c r="F60" s="63">
        <f t="shared" si="1"/>
        <v>114403294.14404412</v>
      </c>
      <c r="G60" s="63">
        <f t="shared" si="8"/>
        <v>10084332.988654926</v>
      </c>
      <c r="H60" s="63">
        <f t="shared" si="9"/>
        <v>488341.76167790458</v>
      </c>
      <c r="I60" s="63">
        <f t="shared" si="10"/>
        <v>4389056.6834898414</v>
      </c>
      <c r="J60" s="63">
        <f t="shared" si="2"/>
        <v>0</v>
      </c>
      <c r="K60" s="63">
        <f t="shared" si="3"/>
        <v>5989861.6833225787</v>
      </c>
      <c r="L60" s="63">
        <f t="shared" si="4"/>
        <v>0</v>
      </c>
      <c r="M60" s="101">
        <f>SUM(Taulukko7[[#This Row],[Invånarbaserad andel]:[Samiskspråkighet]])</f>
        <v>662278764.70628107</v>
      </c>
      <c r="N60" s="81">
        <f t="shared" si="5"/>
        <v>3974.7139632960698</v>
      </c>
    </row>
    <row r="61" spans="1:14" x14ac:dyDescent="0.35">
      <c r="A61" s="3">
        <v>9</v>
      </c>
      <c r="B61" s="16" t="s">
        <v>59</v>
      </c>
      <c r="C61" s="63">
        <f t="shared" si="6"/>
        <v>61114989.873166479</v>
      </c>
      <c r="D61" s="63">
        <f t="shared" si="7"/>
        <v>232818233.95529258</v>
      </c>
      <c r="E61" s="63">
        <f t="shared" si="0"/>
        <v>94004580.848902121</v>
      </c>
      <c r="F61" s="63">
        <f t="shared" si="1"/>
        <v>82477000.917294905</v>
      </c>
      <c r="G61" s="63">
        <f t="shared" si="8"/>
        <v>7851679.813375744</v>
      </c>
      <c r="H61" s="63">
        <f t="shared" si="9"/>
        <v>0</v>
      </c>
      <c r="I61" s="63">
        <f t="shared" si="10"/>
        <v>5127689.8475219021</v>
      </c>
      <c r="J61" s="63">
        <f t="shared" si="2"/>
        <v>0</v>
      </c>
      <c r="K61" s="63">
        <f t="shared" si="3"/>
        <v>4341622.239561514</v>
      </c>
      <c r="L61" s="63">
        <f t="shared" si="4"/>
        <v>0</v>
      </c>
      <c r="M61" s="101">
        <f>SUM(Taulukko7[[#This Row],[Invånarbaserad andel]:[Samiskspråkighet]])</f>
        <v>487735797.49511528</v>
      </c>
      <c r="N61" s="81">
        <f t="shared" si="5"/>
        <v>3788.062672769543</v>
      </c>
    </row>
    <row r="62" spans="1:14" x14ac:dyDescent="0.35">
      <c r="A62" s="3">
        <v>10</v>
      </c>
      <c r="B62" s="16" t="s">
        <v>61</v>
      </c>
      <c r="C62" s="63">
        <f t="shared" si="6"/>
        <v>64778395.786996506</v>
      </c>
      <c r="D62" s="63">
        <f t="shared" si="7"/>
        <v>270613958.52907896</v>
      </c>
      <c r="E62" s="63">
        <f t="shared" si="0"/>
        <v>116232410.06310086</v>
      </c>
      <c r="F62" s="63">
        <f t="shared" si="1"/>
        <v>104947132.7934467</v>
      </c>
      <c r="G62" s="63">
        <f t="shared" si="8"/>
        <v>4511175.9557673186</v>
      </c>
      <c r="H62" s="63">
        <f t="shared" si="9"/>
        <v>0</v>
      </c>
      <c r="I62" s="63">
        <f t="shared" si="10"/>
        <v>12178908.373032775</v>
      </c>
      <c r="J62" s="63">
        <f t="shared" si="2"/>
        <v>3773397.5528714624</v>
      </c>
      <c r="K62" s="63">
        <f t="shared" si="3"/>
        <v>4811507.9981268076</v>
      </c>
      <c r="L62" s="63">
        <f t="shared" si="4"/>
        <v>0</v>
      </c>
      <c r="M62" s="101">
        <f>SUM(Taulukko7[[#This Row],[Invånarbaserad andel]:[Samiskspråkighet]])</f>
        <v>581846887.05242145</v>
      </c>
      <c r="N62" s="81">
        <f t="shared" si="5"/>
        <v>4263.4266384250586</v>
      </c>
    </row>
    <row r="63" spans="1:14" x14ac:dyDescent="0.35">
      <c r="A63" s="3">
        <v>11</v>
      </c>
      <c r="B63" s="16" t="s">
        <v>63</v>
      </c>
      <c r="C63" s="63">
        <f t="shared" si="6"/>
        <v>118860861.42858672</v>
      </c>
      <c r="D63" s="63">
        <f t="shared" si="7"/>
        <v>474295895.24419081</v>
      </c>
      <c r="E63" s="63">
        <f t="shared" si="0"/>
        <v>176936507.94504973</v>
      </c>
      <c r="F63" s="63">
        <f t="shared" si="1"/>
        <v>186155791.41503718</v>
      </c>
      <c r="G63" s="63">
        <f t="shared" si="8"/>
        <v>7501674.782324831</v>
      </c>
      <c r="H63" s="63">
        <f t="shared" si="9"/>
        <v>0</v>
      </c>
      <c r="I63" s="63">
        <f t="shared" si="10"/>
        <v>16697193.129637593</v>
      </c>
      <c r="J63" s="63">
        <f t="shared" si="2"/>
        <v>0</v>
      </c>
      <c r="K63" s="63">
        <f t="shared" si="3"/>
        <v>9114902.5895056389</v>
      </c>
      <c r="L63" s="63">
        <f t="shared" si="4"/>
        <v>0</v>
      </c>
      <c r="M63" s="101">
        <f>SUM(Taulukko7[[#This Row],[Invånarbaserad andel]:[Samiskspråkighet]])</f>
        <v>989562826.53433251</v>
      </c>
      <c r="N63" s="81">
        <f t="shared" si="5"/>
        <v>3951.7072788834989</v>
      </c>
    </row>
    <row r="64" spans="1:14" x14ac:dyDescent="0.35">
      <c r="A64" s="3">
        <v>12</v>
      </c>
      <c r="B64" s="16" t="s">
        <v>65</v>
      </c>
      <c r="C64" s="63">
        <f t="shared" si="6"/>
        <v>78588553.219347462</v>
      </c>
      <c r="D64" s="63">
        <f t="shared" si="7"/>
        <v>318806820.66553926</v>
      </c>
      <c r="E64" s="63">
        <f t="shared" si="0"/>
        <v>123187694.63499123</v>
      </c>
      <c r="F64" s="63">
        <f t="shared" si="1"/>
        <v>131094619.02940518</v>
      </c>
      <c r="G64" s="63">
        <f t="shared" si="8"/>
        <v>6090685.8394842576</v>
      </c>
      <c r="H64" s="63">
        <f t="shared" si="9"/>
        <v>0</v>
      </c>
      <c r="I64" s="63">
        <f t="shared" si="10"/>
        <v>18089388.802001692</v>
      </c>
      <c r="J64" s="63">
        <f t="shared" si="2"/>
        <v>0</v>
      </c>
      <c r="K64" s="63">
        <f t="shared" si="3"/>
        <v>5252965.5685409587</v>
      </c>
      <c r="L64" s="63">
        <f t="shared" si="4"/>
        <v>0</v>
      </c>
      <c r="M64" s="101">
        <f>SUM(Taulukko7[[#This Row],[Invånarbaserad andel]:[Samiskspråkighet]])</f>
        <v>681110727.75931001</v>
      </c>
      <c r="N64" s="81">
        <f t="shared" si="5"/>
        <v>4113.7575739378144</v>
      </c>
    </row>
    <row r="65" spans="1:14" x14ac:dyDescent="0.35">
      <c r="A65" s="3">
        <v>13</v>
      </c>
      <c r="B65" s="16" t="s">
        <v>67</v>
      </c>
      <c r="C65" s="63">
        <f t="shared" si="6"/>
        <v>129715801.80736086</v>
      </c>
      <c r="D65" s="63">
        <f t="shared" si="7"/>
        <v>477817993.15428954</v>
      </c>
      <c r="E65" s="63">
        <f t="shared" si="0"/>
        <v>168482480.21988913</v>
      </c>
      <c r="F65" s="63">
        <f t="shared" si="1"/>
        <v>176952331.03106475</v>
      </c>
      <c r="G65" s="63">
        <f t="shared" si="8"/>
        <v>9074204.5087273642</v>
      </c>
      <c r="H65" s="63">
        <f t="shared" si="9"/>
        <v>0</v>
      </c>
      <c r="I65" s="63">
        <f t="shared" si="10"/>
        <v>15443284.20267701</v>
      </c>
      <c r="J65" s="63">
        <f t="shared" si="2"/>
        <v>0</v>
      </c>
      <c r="K65" s="63">
        <f t="shared" si="3"/>
        <v>8343310.1907911496</v>
      </c>
      <c r="L65" s="63">
        <f t="shared" si="4"/>
        <v>0</v>
      </c>
      <c r="M65" s="101">
        <f>SUM(Taulukko7[[#This Row],[Invånarbaserad andel]:[Samiskspråkighet]])</f>
        <v>985829405.11479974</v>
      </c>
      <c r="N65" s="81">
        <f t="shared" si="5"/>
        <v>3607.3572271776866</v>
      </c>
    </row>
    <row r="66" spans="1:14" x14ac:dyDescent="0.35">
      <c r="A66" s="3">
        <v>14</v>
      </c>
      <c r="B66" s="16" t="s">
        <v>69</v>
      </c>
      <c r="C66" s="63">
        <f t="shared" si="6"/>
        <v>92233529.871961057</v>
      </c>
      <c r="D66" s="63">
        <f t="shared" si="7"/>
        <v>362833096.20664865</v>
      </c>
      <c r="E66" s="63">
        <f t="shared" si="0"/>
        <v>141850685.95228463</v>
      </c>
      <c r="F66" s="63">
        <f t="shared" si="1"/>
        <v>128165714.48243229</v>
      </c>
      <c r="G66" s="63">
        <f t="shared" si="8"/>
        <v>4135244.6261200421</v>
      </c>
      <c r="H66" s="63">
        <f t="shared" si="9"/>
        <v>0</v>
      </c>
      <c r="I66" s="63">
        <f t="shared" si="10"/>
        <v>13283113.354447242</v>
      </c>
      <c r="J66" s="63">
        <f t="shared" si="2"/>
        <v>0</v>
      </c>
      <c r="K66" s="63">
        <f t="shared" si="3"/>
        <v>7322233.2411315367</v>
      </c>
      <c r="L66" s="63">
        <f t="shared" si="4"/>
        <v>0</v>
      </c>
      <c r="M66" s="101">
        <f>SUM(Taulukko7[[#This Row],[Invånarbaserad andel]:[Samiskspråkighet]])</f>
        <v>749823617.73502541</v>
      </c>
      <c r="N66" s="81">
        <f t="shared" si="5"/>
        <v>3858.7847513072797</v>
      </c>
    </row>
    <row r="67" spans="1:14" x14ac:dyDescent="0.35">
      <c r="A67" s="3">
        <v>15</v>
      </c>
      <c r="B67" s="16" t="s">
        <v>71</v>
      </c>
      <c r="C67" s="63">
        <f t="shared" si="6"/>
        <v>83631313.575466946</v>
      </c>
      <c r="D67" s="63">
        <f t="shared" si="7"/>
        <v>280916588.50746644</v>
      </c>
      <c r="E67" s="63">
        <f t="shared" si="0"/>
        <v>99973737.839475378</v>
      </c>
      <c r="F67" s="63">
        <f t="shared" si="1"/>
        <v>89255865.772883028</v>
      </c>
      <c r="G67" s="63">
        <f t="shared" si="8"/>
        <v>12174391.521654109</v>
      </c>
      <c r="H67" s="63">
        <f t="shared" si="9"/>
        <v>34296322.481767245</v>
      </c>
      <c r="I67" s="63">
        <f t="shared" si="10"/>
        <v>7124602.4350278201</v>
      </c>
      <c r="J67" s="63">
        <f t="shared" si="2"/>
        <v>3406860.3422913617</v>
      </c>
      <c r="K67" s="63">
        <f t="shared" si="3"/>
        <v>6054335.6352392351</v>
      </c>
      <c r="L67" s="63">
        <f t="shared" si="4"/>
        <v>0</v>
      </c>
      <c r="M67" s="101">
        <f>SUM(Taulukko7[[#This Row],[Invånarbaserad andel]:[Samiskspråkighet]])</f>
        <v>616834018.11127162</v>
      </c>
      <c r="N67" s="81">
        <f t="shared" si="5"/>
        <v>3500.899684500926</v>
      </c>
    </row>
    <row r="68" spans="1:14" x14ac:dyDescent="0.35">
      <c r="A68" s="3">
        <v>16</v>
      </c>
      <c r="B68" s="16" t="s">
        <v>73</v>
      </c>
      <c r="C68" s="63">
        <f t="shared" si="6"/>
        <v>32484129.376105923</v>
      </c>
      <c r="D68" s="63">
        <f t="shared" si="7"/>
        <v>122175570.78850755</v>
      </c>
      <c r="E68" s="63">
        <f t="shared" si="0"/>
        <v>42866537.425005548</v>
      </c>
      <c r="F68" s="63">
        <f t="shared" si="1"/>
        <v>44724409.603142858</v>
      </c>
      <c r="G68" s="63">
        <f t="shared" si="8"/>
        <v>1978376.0159686913</v>
      </c>
      <c r="H68" s="63">
        <f t="shared" si="9"/>
        <v>2373041.7421363061</v>
      </c>
      <c r="I68" s="63">
        <f t="shared" si="10"/>
        <v>4832142.2407949138</v>
      </c>
      <c r="J68" s="63">
        <f t="shared" si="2"/>
        <v>0</v>
      </c>
      <c r="K68" s="63">
        <f t="shared" si="3"/>
        <v>2755064.3414744334</v>
      </c>
      <c r="L68" s="63">
        <f t="shared" si="4"/>
        <v>0</v>
      </c>
      <c r="M68" s="101">
        <f>SUM(Taulukko7[[#This Row],[Invånarbaserad andel]:[Samiskspråkighet]])</f>
        <v>254189271.53313625</v>
      </c>
      <c r="N68" s="81">
        <f t="shared" si="5"/>
        <v>3714.2082723254416</v>
      </c>
    </row>
    <row r="69" spans="1:14" x14ac:dyDescent="0.35">
      <c r="A69" s="3">
        <v>17</v>
      </c>
      <c r="B69" s="16" t="s">
        <v>75</v>
      </c>
      <c r="C69" s="63">
        <f t="shared" si="6"/>
        <v>195635274.01530159</v>
      </c>
      <c r="D69" s="63">
        <f t="shared" si="7"/>
        <v>684762191.78514147</v>
      </c>
      <c r="E69" s="63">
        <f t="shared" si="0"/>
        <v>217806872.15041575</v>
      </c>
      <c r="F69" s="63">
        <f t="shared" si="1"/>
        <v>282811308.96668631</v>
      </c>
      <c r="G69" s="63">
        <f t="shared" si="8"/>
        <v>11632930.747122355</v>
      </c>
      <c r="H69" s="63">
        <f t="shared" si="9"/>
        <v>0</v>
      </c>
      <c r="I69" s="63">
        <f t="shared" si="10"/>
        <v>35443792.938161917</v>
      </c>
      <c r="J69" s="63">
        <f t="shared" si="2"/>
        <v>603818.53940537886</v>
      </c>
      <c r="K69" s="63">
        <f t="shared" si="3"/>
        <v>14821856.672711473</v>
      </c>
      <c r="L69" s="63">
        <f t="shared" si="4"/>
        <v>0</v>
      </c>
      <c r="M69" s="101">
        <f>SUM(Taulukko7[[#This Row],[Invånarbaserad andel]:[Samiskspråkighet]])</f>
        <v>1443518045.8149459</v>
      </c>
      <c r="N69" s="81">
        <f t="shared" si="5"/>
        <v>3502.3159537533779</v>
      </c>
    </row>
    <row r="70" spans="1:14" x14ac:dyDescent="0.35">
      <c r="A70" s="3">
        <v>18</v>
      </c>
      <c r="B70" s="16" t="s">
        <v>77</v>
      </c>
      <c r="C70" s="63">
        <f t="shared" si="6"/>
        <v>34678945.253995277</v>
      </c>
      <c r="D70" s="63">
        <f t="shared" si="7"/>
        <v>139114892.76861814</v>
      </c>
      <c r="E70" s="63">
        <f t="shared" si="0"/>
        <v>59464692.197813325</v>
      </c>
      <c r="F70" s="63">
        <f t="shared" si="1"/>
        <v>57725896.323454551</v>
      </c>
      <c r="G70" s="63">
        <f t="shared" si="8"/>
        <v>1996324.9919200202</v>
      </c>
      <c r="H70" s="63">
        <f t="shared" si="9"/>
        <v>0</v>
      </c>
      <c r="I70" s="63">
        <f t="shared" si="10"/>
        <v>19442894.990914572</v>
      </c>
      <c r="J70" s="63">
        <f t="shared" si="2"/>
        <v>0</v>
      </c>
      <c r="K70" s="63">
        <f t="shared" si="3"/>
        <v>2836672.2724076738</v>
      </c>
      <c r="L70" s="63">
        <f t="shared" si="4"/>
        <v>0</v>
      </c>
      <c r="M70" s="101">
        <f>SUM(Taulukko7[[#This Row],[Invånarbaserad andel]:[Samiskspråkighet]])</f>
        <v>315260318.79912353</v>
      </c>
      <c r="N70" s="81">
        <f t="shared" si="5"/>
        <v>4315.0287951044129</v>
      </c>
    </row>
    <row r="71" spans="1:14" x14ac:dyDescent="0.35">
      <c r="A71" s="105">
        <v>19</v>
      </c>
      <c r="B71" s="106" t="s">
        <v>79</v>
      </c>
      <c r="C71" s="80">
        <f t="shared" si="6"/>
        <v>84736790.690433279</v>
      </c>
      <c r="D71" s="80">
        <f t="shared" si="7"/>
        <v>324752685.4955256</v>
      </c>
      <c r="E71" s="80">
        <f t="shared" si="0"/>
        <v>124276231.06720351</v>
      </c>
      <c r="F71" s="80">
        <f t="shared" si="1"/>
        <v>142812315.40226123</v>
      </c>
      <c r="G71" s="80">
        <f t="shared" si="8"/>
        <v>5023718.9357108204</v>
      </c>
      <c r="H71" s="80">
        <f t="shared" si="9"/>
        <v>0</v>
      </c>
      <c r="I71" s="80">
        <f t="shared" si="10"/>
        <v>89214656.526150972</v>
      </c>
      <c r="J71" s="80">
        <f t="shared" si="2"/>
        <v>0</v>
      </c>
      <c r="K71" s="80">
        <f t="shared" si="3"/>
        <v>6160271.257783995</v>
      </c>
      <c r="L71" s="80">
        <f t="shared" si="4"/>
        <v>2500000</v>
      </c>
      <c r="M71" s="107">
        <f>SUM(Taulukko7[[#This Row],[Invånarbaserad andel]:[Samiskspråkighet]])</f>
        <v>779476669.37506938</v>
      </c>
      <c r="N71" s="108">
        <f t="shared" si="5"/>
        <v>4366.2779342325839</v>
      </c>
    </row>
    <row r="72" spans="1:14" x14ac:dyDescent="0.35">
      <c r="B72" s="16" t="s">
        <v>35</v>
      </c>
      <c r="C72" s="81">
        <f t="shared" ref="C72:K72" si="11">SUM(C50:C71)</f>
        <v>2604981588.2181897</v>
      </c>
      <c r="D72" s="81">
        <f t="shared" si="11"/>
        <v>9350405304.9012375</v>
      </c>
      <c r="E72" s="81">
        <f t="shared" si="11"/>
        <v>3126530242.6799202</v>
      </c>
      <c r="F72" s="81">
        <f t="shared" si="11"/>
        <v>3328629337.4654479</v>
      </c>
      <c r="G72" s="81">
        <f t="shared" si="11"/>
        <v>388104724.00360006</v>
      </c>
      <c r="H72" s="81">
        <f t="shared" si="11"/>
        <v>97026181.000899985</v>
      </c>
      <c r="I72" s="81">
        <f t="shared" si="11"/>
        <v>291078543.00269997</v>
      </c>
      <c r="J72" s="81">
        <f t="shared" si="11"/>
        <v>21927916.9062034</v>
      </c>
      <c r="K72" s="81">
        <f t="shared" si="11"/>
        <v>194052362.00180009</v>
      </c>
      <c r="L72" s="81">
        <f>L71</f>
        <v>2500000</v>
      </c>
      <c r="M72" s="101">
        <f>SUM(Taulukko7[[#This Row],[Invånarbaserad andel]:[Samiskspråkighet]])</f>
        <v>19405236200.18</v>
      </c>
      <c r="N72" s="81">
        <f t="shared" si="5"/>
        <v>3535.8557833323921</v>
      </c>
    </row>
    <row r="73" spans="1:14" x14ac:dyDescent="0.35">
      <c r="B73" s="16" t="s">
        <v>401</v>
      </c>
      <c r="C73" s="109">
        <f t="shared" ref="C73:L73" si="12">C72/$M$72</f>
        <v>0.13424116879309236</v>
      </c>
      <c r="D73" s="109">
        <f t="shared" si="12"/>
        <v>0.48184960020298567</v>
      </c>
      <c r="E73" s="109">
        <f t="shared" si="12"/>
        <v>0.16111786583926863</v>
      </c>
      <c r="F73" s="109">
        <f t="shared" si="12"/>
        <v>0.17153253395774548</v>
      </c>
      <c r="G73" s="109">
        <f t="shared" si="12"/>
        <v>2.0000000000000004E-2</v>
      </c>
      <c r="H73" s="109">
        <f t="shared" si="12"/>
        <v>4.9999999999999992E-3</v>
      </c>
      <c r="I73" s="109">
        <f t="shared" si="12"/>
        <v>1.4999999999999998E-2</v>
      </c>
      <c r="J73" s="109">
        <f t="shared" si="12"/>
        <v>1.1299999999999999E-3</v>
      </c>
      <c r="K73" s="109">
        <f t="shared" si="12"/>
        <v>1.0000000000000004E-2</v>
      </c>
      <c r="L73" s="109">
        <f t="shared" si="12"/>
        <v>1.2883120690779381E-4</v>
      </c>
      <c r="M73" s="110">
        <f>SUM(Taulukko7[[#This Row],[Invånarbaserad andel]:[Samiskspråkighet]])</f>
        <v>0.99999999999999989</v>
      </c>
      <c r="N73" s="81"/>
    </row>
    <row r="74" spans="1:14" x14ac:dyDescent="0.35">
      <c r="B74" s="16"/>
      <c r="C74" s="81"/>
      <c r="D74" s="96"/>
      <c r="E74" s="16"/>
      <c r="F74" s="96"/>
      <c r="G74" s="81"/>
      <c r="H74" s="81"/>
      <c r="I74" s="97"/>
      <c r="J74" s="26"/>
      <c r="K74" s="97"/>
      <c r="L74" s="81"/>
      <c r="M74" s="89"/>
      <c r="N74" s="89"/>
    </row>
    <row r="75" spans="1:14" x14ac:dyDescent="0.35">
      <c r="B75" s="16"/>
      <c r="C75" s="81"/>
      <c r="D75" s="96"/>
      <c r="E75" s="16"/>
      <c r="F75" s="96"/>
      <c r="G75" s="81"/>
      <c r="H75" s="81"/>
      <c r="I75" s="97"/>
      <c r="J75" s="26"/>
      <c r="K75" s="97"/>
      <c r="L75" s="81"/>
      <c r="M75" s="89"/>
      <c r="N75" s="89"/>
    </row>
    <row r="76" spans="1:14" x14ac:dyDescent="0.35"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  <row r="77" spans="1:14" x14ac:dyDescent="0.35">
      <c r="A77" s="17" t="s">
        <v>402</v>
      </c>
      <c r="B77" s="17"/>
      <c r="C77" s="17"/>
      <c r="D77" s="17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s="464" customFormat="1" ht="31" x14ac:dyDescent="0.3">
      <c r="A78" s="456" t="s">
        <v>22</v>
      </c>
      <c r="B78" s="456" t="s">
        <v>34</v>
      </c>
      <c r="C78" s="456" t="s">
        <v>372</v>
      </c>
      <c r="D78" s="473" t="s">
        <v>374</v>
      </c>
      <c r="E78" s="473" t="s">
        <v>375</v>
      </c>
      <c r="F78" s="473" t="s">
        <v>376</v>
      </c>
      <c r="G78" s="474" t="s">
        <v>377</v>
      </c>
      <c r="H78" s="473" t="s">
        <v>378</v>
      </c>
      <c r="I78" s="473" t="s">
        <v>379</v>
      </c>
      <c r="J78" s="473" t="s">
        <v>380</v>
      </c>
      <c r="K78" s="473" t="s">
        <v>381</v>
      </c>
      <c r="L78" s="475" t="s">
        <v>382</v>
      </c>
      <c r="M78" s="476" t="s">
        <v>400</v>
      </c>
      <c r="N78" s="477" t="s">
        <v>403</v>
      </c>
    </row>
    <row r="79" spans="1:14" x14ac:dyDescent="0.35">
      <c r="A79" s="243">
        <v>31</v>
      </c>
      <c r="B79" s="28" t="s">
        <v>37</v>
      </c>
      <c r="C79" s="86">
        <f t="shared" ref="C79:C100" si="13">C50/$C23</f>
        <v>474.65741303835534</v>
      </c>
      <c r="D79" s="86">
        <f>D50/$C23</f>
        <v>1520.4479126910535</v>
      </c>
      <c r="E79" s="86">
        <f t="shared" ref="E79:M79" si="14">E50/$C23</f>
        <v>411.79945648131792</v>
      </c>
      <c r="F79" s="86">
        <f t="shared" si="14"/>
        <v>492.5735413724131</v>
      </c>
      <c r="G79" s="86">
        <f t="shared" si="14"/>
        <v>156.68175795910864</v>
      </c>
      <c r="H79" s="86">
        <f t="shared" si="14"/>
        <v>21.626072027547281</v>
      </c>
      <c r="I79" s="86">
        <f t="shared" si="14"/>
        <v>0.31826772674953974</v>
      </c>
      <c r="J79" s="86">
        <f t="shared" si="14"/>
        <v>0</v>
      </c>
      <c r="K79" s="86">
        <f t="shared" si="14"/>
        <v>37.256561054040347</v>
      </c>
      <c r="L79" s="86">
        <f t="shared" si="14"/>
        <v>0</v>
      </c>
      <c r="M79" s="31">
        <f t="shared" si="14"/>
        <v>3115.3609823505858</v>
      </c>
      <c r="N79" s="33">
        <f>SUM('Kalkylerad finansiering av soci'!$C79:$L79)</f>
        <v>3115.3609823505863</v>
      </c>
    </row>
    <row r="80" spans="1:14" x14ac:dyDescent="0.35">
      <c r="A80" s="244">
        <v>32</v>
      </c>
      <c r="B80" s="112" t="s">
        <v>39</v>
      </c>
      <c r="C80" s="37">
        <f t="shared" si="13"/>
        <v>474.65741303835534</v>
      </c>
      <c r="D80" s="37">
        <f t="shared" ref="D80:M100" si="15">D51/$C24</f>
        <v>1522.3831941590877</v>
      </c>
      <c r="E80" s="37">
        <f t="shared" si="15"/>
        <v>282.6092863501442</v>
      </c>
      <c r="F80" s="37">
        <f t="shared" si="15"/>
        <v>496.87042392350236</v>
      </c>
      <c r="G80" s="37">
        <f t="shared" si="15"/>
        <v>177.32286140051474</v>
      </c>
      <c r="H80" s="37">
        <f t="shared" si="15"/>
        <v>8.7394906932254326</v>
      </c>
      <c r="I80" s="37">
        <f t="shared" si="15"/>
        <v>0.97933867231558758</v>
      </c>
      <c r="J80" s="37">
        <f t="shared" si="15"/>
        <v>0</v>
      </c>
      <c r="K80" s="37">
        <f t="shared" si="15"/>
        <v>40.696512898014355</v>
      </c>
      <c r="L80" s="37">
        <f t="shared" si="15"/>
        <v>0</v>
      </c>
      <c r="M80" s="113">
        <f t="shared" si="15"/>
        <v>3004.2585211351598</v>
      </c>
      <c r="N80" s="62">
        <f>SUM('Kalkylerad finansiering av soci'!$C80:$L80)</f>
        <v>3004.2585211351593</v>
      </c>
    </row>
    <row r="81" spans="1:14" x14ac:dyDescent="0.35">
      <c r="A81" s="244">
        <v>33</v>
      </c>
      <c r="B81" s="112" t="s">
        <v>41</v>
      </c>
      <c r="C81" s="37">
        <f t="shared" si="13"/>
        <v>474.65741303835534</v>
      </c>
      <c r="D81" s="37">
        <f t="shared" si="15"/>
        <v>1473.0927322133477</v>
      </c>
      <c r="E81" s="37">
        <f t="shared" si="15"/>
        <v>324.28716631002015</v>
      </c>
      <c r="F81" s="37">
        <f t="shared" si="15"/>
        <v>444.89424683761388</v>
      </c>
      <c r="G81" s="37">
        <f t="shared" si="15"/>
        <v>124.91895674810345</v>
      </c>
      <c r="H81" s="37">
        <f t="shared" si="15"/>
        <v>47.800044261954454</v>
      </c>
      <c r="I81" s="37">
        <f t="shared" si="15"/>
        <v>8.8007012686758905</v>
      </c>
      <c r="J81" s="37">
        <f t="shared" si="15"/>
        <v>0</v>
      </c>
      <c r="K81" s="37">
        <f t="shared" si="15"/>
        <v>33.571029648991768</v>
      </c>
      <c r="L81" s="37">
        <f t="shared" si="15"/>
        <v>0</v>
      </c>
      <c r="M81" s="113">
        <f t="shared" si="15"/>
        <v>2932.0222903270628</v>
      </c>
      <c r="N81" s="62">
        <f>SUM('Kalkylerad finansiering av soci'!$C81:$L81)</f>
        <v>2932.0222903270628</v>
      </c>
    </row>
    <row r="82" spans="1:14" x14ac:dyDescent="0.35">
      <c r="A82" s="244">
        <v>34</v>
      </c>
      <c r="B82" s="112" t="s">
        <v>43</v>
      </c>
      <c r="C82" s="37">
        <f t="shared" si="13"/>
        <v>474.65741303835529</v>
      </c>
      <c r="D82" s="37">
        <f t="shared" si="15"/>
        <v>1657.4798819409991</v>
      </c>
      <c r="E82" s="37">
        <f t="shared" si="15"/>
        <v>500.73820262553039</v>
      </c>
      <c r="F82" s="37">
        <f t="shared" si="15"/>
        <v>508.68387811559052</v>
      </c>
      <c r="G82" s="37">
        <f t="shared" si="15"/>
        <v>55.782533583731329</v>
      </c>
      <c r="H82" s="37">
        <f t="shared" si="15"/>
        <v>112.46598129407904</v>
      </c>
      <c r="I82" s="37">
        <f t="shared" si="15"/>
        <v>26.738105257295128</v>
      </c>
      <c r="J82" s="37">
        <f t="shared" si="15"/>
        <v>0</v>
      </c>
      <c r="K82" s="37">
        <f t="shared" si="15"/>
        <v>39.899004176839796</v>
      </c>
      <c r="L82" s="37">
        <f t="shared" si="15"/>
        <v>0</v>
      </c>
      <c r="M82" s="113">
        <f t="shared" si="15"/>
        <v>3376.4450000324209</v>
      </c>
      <c r="N82" s="62">
        <f>SUM('Kalkylerad finansiering av soci'!$C82:$L82)</f>
        <v>3376.4450000324209</v>
      </c>
    </row>
    <row r="83" spans="1:14" x14ac:dyDescent="0.35">
      <c r="A83" s="244">
        <v>35</v>
      </c>
      <c r="B83" s="112" t="s">
        <v>45</v>
      </c>
      <c r="C83" s="37">
        <f t="shared" si="13"/>
        <v>474.65741303835534</v>
      </c>
      <c r="D83" s="37">
        <f t="shared" si="15"/>
        <v>1589.6446624357584</v>
      </c>
      <c r="E83" s="37">
        <f t="shared" si="15"/>
        <v>394.77033672474403</v>
      </c>
      <c r="F83" s="37">
        <f t="shared" si="15"/>
        <v>506.94896264299729</v>
      </c>
      <c r="G83" s="37">
        <f t="shared" si="15"/>
        <v>50.375332469142151</v>
      </c>
      <c r="H83" s="37">
        <f t="shared" si="15"/>
        <v>0</v>
      </c>
      <c r="I83" s="37">
        <f t="shared" si="15"/>
        <v>8.1555533716504875</v>
      </c>
      <c r="J83" s="37">
        <f t="shared" si="15"/>
        <v>0</v>
      </c>
      <c r="K83" s="37">
        <f t="shared" si="15"/>
        <v>37.945682011433298</v>
      </c>
      <c r="L83" s="37">
        <f t="shared" si="15"/>
        <v>0</v>
      </c>
      <c r="M83" s="113">
        <f t="shared" si="15"/>
        <v>3062.4979426940813</v>
      </c>
      <c r="N83" s="62">
        <f>SUM('Kalkylerad finansiering av soci'!$C83:$L83)</f>
        <v>3062.4979426940808</v>
      </c>
    </row>
    <row r="84" spans="1:14" x14ac:dyDescent="0.35">
      <c r="A84" s="35">
        <v>2</v>
      </c>
      <c r="B84" s="112" t="s">
        <v>47</v>
      </c>
      <c r="C84" s="37">
        <f t="shared" si="13"/>
        <v>474.65741303835534</v>
      </c>
      <c r="D84" s="37">
        <f t="shared" si="15"/>
        <v>1744.5684000239751</v>
      </c>
      <c r="E84" s="37">
        <f t="shared" si="15"/>
        <v>629.31532444546747</v>
      </c>
      <c r="F84" s="37">
        <f t="shared" si="15"/>
        <v>609.7333612348715</v>
      </c>
      <c r="G84" s="37">
        <f t="shared" si="15"/>
        <v>71.218951331731787</v>
      </c>
      <c r="H84" s="37">
        <f t="shared" si="15"/>
        <v>21.752888800289377</v>
      </c>
      <c r="I84" s="37">
        <f t="shared" si="15"/>
        <v>21.451629388888012</v>
      </c>
      <c r="J84" s="37">
        <f t="shared" si="15"/>
        <v>29.553640696129808</v>
      </c>
      <c r="K84" s="37">
        <f t="shared" si="15"/>
        <v>31.656374241348022</v>
      </c>
      <c r="L84" s="37">
        <f t="shared" si="15"/>
        <v>0</v>
      </c>
      <c r="M84" s="113">
        <f t="shared" si="15"/>
        <v>3633.9079832010561</v>
      </c>
      <c r="N84" s="62">
        <f>SUM('Kalkylerad finansiering av soci'!$C84:$L84)</f>
        <v>3633.9079832010561</v>
      </c>
    </row>
    <row r="85" spans="1:14" x14ac:dyDescent="0.35">
      <c r="A85" s="35">
        <v>4</v>
      </c>
      <c r="B85" s="112" t="s">
        <v>49</v>
      </c>
      <c r="C85" s="37">
        <f t="shared" si="13"/>
        <v>474.65741303835534</v>
      </c>
      <c r="D85" s="37">
        <f t="shared" si="15"/>
        <v>1789.9606935394293</v>
      </c>
      <c r="E85" s="37">
        <f t="shared" si="15"/>
        <v>715.36496285792441</v>
      </c>
      <c r="F85" s="37">
        <f t="shared" si="15"/>
        <v>674.97591445079991</v>
      </c>
      <c r="G85" s="37">
        <f t="shared" si="15"/>
        <v>34.810294402094165</v>
      </c>
      <c r="H85" s="37">
        <f t="shared" si="15"/>
        <v>0</v>
      </c>
      <c r="I85" s="37">
        <f t="shared" si="15"/>
        <v>34.435076983427315</v>
      </c>
      <c r="J85" s="37">
        <f t="shared" si="15"/>
        <v>0</v>
      </c>
      <c r="K85" s="37">
        <f t="shared" si="15"/>
        <v>50.314424546023631</v>
      </c>
      <c r="L85" s="37">
        <f t="shared" si="15"/>
        <v>0</v>
      </c>
      <c r="M85" s="113">
        <f t="shared" si="15"/>
        <v>3774.5187798180536</v>
      </c>
      <c r="N85" s="62">
        <f>SUM('Kalkylerad finansiering av soci'!$C85:$L85)</f>
        <v>3774.5187798180536</v>
      </c>
    </row>
    <row r="86" spans="1:14" x14ac:dyDescent="0.35">
      <c r="A86" s="35">
        <v>5</v>
      </c>
      <c r="B86" s="112" t="s">
        <v>51</v>
      </c>
      <c r="C86" s="37">
        <f t="shared" si="13"/>
        <v>474.65741303835534</v>
      </c>
      <c r="D86" s="37">
        <f t="shared" si="15"/>
        <v>1810.4432886312438</v>
      </c>
      <c r="E86" s="37">
        <f t="shared" si="15"/>
        <v>631.68999600717075</v>
      </c>
      <c r="F86" s="37">
        <f t="shared" si="15"/>
        <v>615.67658125498781</v>
      </c>
      <c r="G86" s="37">
        <f t="shared" si="15"/>
        <v>40.738746059477457</v>
      </c>
      <c r="H86" s="37">
        <f t="shared" si="15"/>
        <v>0</v>
      </c>
      <c r="I86" s="37">
        <f t="shared" si="15"/>
        <v>29.204802097834673</v>
      </c>
      <c r="J86" s="37">
        <f t="shared" si="15"/>
        <v>0</v>
      </c>
      <c r="K86" s="37">
        <f t="shared" si="15"/>
        <v>31.99303387650447</v>
      </c>
      <c r="L86" s="37">
        <f t="shared" si="15"/>
        <v>0</v>
      </c>
      <c r="M86" s="113">
        <f t="shared" si="15"/>
        <v>3634.403860965574</v>
      </c>
      <c r="N86" s="62">
        <f>SUM('Kalkylerad finansiering av soci'!$C86:$L86)</f>
        <v>3634.403860965574</v>
      </c>
    </row>
    <row r="87" spans="1:14" x14ac:dyDescent="0.35">
      <c r="A87" s="35">
        <v>6</v>
      </c>
      <c r="B87" s="112" t="s">
        <v>53</v>
      </c>
      <c r="C87" s="37">
        <f t="shared" si="13"/>
        <v>474.65741303835534</v>
      </c>
      <c r="D87" s="37">
        <f t="shared" si="15"/>
        <v>1715.0117767404874</v>
      </c>
      <c r="E87" s="37">
        <f t="shared" si="15"/>
        <v>585.39815086337558</v>
      </c>
      <c r="F87" s="37">
        <f t="shared" si="15"/>
        <v>584.51744840452466</v>
      </c>
      <c r="G87" s="37">
        <f t="shared" si="15"/>
        <v>48.182006115485827</v>
      </c>
      <c r="H87" s="37">
        <f t="shared" si="15"/>
        <v>0</v>
      </c>
      <c r="I87" s="37">
        <f t="shared" si="15"/>
        <v>24.652555571183182</v>
      </c>
      <c r="J87" s="37">
        <f t="shared" si="15"/>
        <v>0</v>
      </c>
      <c r="K87" s="37">
        <f t="shared" si="15"/>
        <v>32.637879007352254</v>
      </c>
      <c r="L87" s="37">
        <f t="shared" si="15"/>
        <v>0</v>
      </c>
      <c r="M87" s="113">
        <f t="shared" si="15"/>
        <v>3465.0572297407643</v>
      </c>
      <c r="N87" s="62">
        <f>SUM('Kalkylerad finansiering av soci'!$C87:$L87)</f>
        <v>3465.0572297407643</v>
      </c>
    </row>
    <row r="88" spans="1:14" x14ac:dyDescent="0.35">
      <c r="A88" s="35">
        <v>7</v>
      </c>
      <c r="B88" s="112" t="s">
        <v>55</v>
      </c>
      <c r="C88" s="37">
        <f t="shared" si="13"/>
        <v>474.65741303835534</v>
      </c>
      <c r="D88" s="37">
        <f t="shared" si="15"/>
        <v>1836.5816019518215</v>
      </c>
      <c r="E88" s="37">
        <f t="shared" si="15"/>
        <v>660.58278336185606</v>
      </c>
      <c r="F88" s="37">
        <f t="shared" si="15"/>
        <v>642.91007046108962</v>
      </c>
      <c r="G88" s="37">
        <f t="shared" si="15"/>
        <v>51.47041314786118</v>
      </c>
      <c r="H88" s="37">
        <f t="shared" si="15"/>
        <v>0</v>
      </c>
      <c r="I88" s="37">
        <f t="shared" si="15"/>
        <v>26.520779813629261</v>
      </c>
      <c r="J88" s="37">
        <f t="shared" si="15"/>
        <v>0</v>
      </c>
      <c r="K88" s="37">
        <f t="shared" si="15"/>
        <v>28.36520677906141</v>
      </c>
      <c r="L88" s="37">
        <f t="shared" si="15"/>
        <v>0</v>
      </c>
      <c r="M88" s="113">
        <f t="shared" si="15"/>
        <v>3721.0882685536749</v>
      </c>
      <c r="N88" s="62">
        <f>SUM('Kalkylerad finansiering av soci'!$C88:$L88)</f>
        <v>3721.088268553674</v>
      </c>
    </row>
    <row r="89" spans="1:14" x14ac:dyDescent="0.35">
      <c r="A89" s="35">
        <v>8</v>
      </c>
      <c r="B89" s="112" t="s">
        <v>57</v>
      </c>
      <c r="C89" s="37">
        <f t="shared" si="13"/>
        <v>474.65741303835534</v>
      </c>
      <c r="D89" s="37">
        <f t="shared" si="15"/>
        <v>1864.6148109248202</v>
      </c>
      <c r="E89" s="37">
        <f t="shared" si="15"/>
        <v>823.09958212056858</v>
      </c>
      <c r="F89" s="37">
        <f t="shared" si="15"/>
        <v>686.59965397360577</v>
      </c>
      <c r="G89" s="37">
        <f t="shared" si="15"/>
        <v>60.521854657849914</v>
      </c>
      <c r="H89" s="37">
        <f t="shared" si="15"/>
        <v>2.9308184444998866</v>
      </c>
      <c r="I89" s="37">
        <f t="shared" si="15"/>
        <v>26.341241506213677</v>
      </c>
      <c r="J89" s="37">
        <f t="shared" si="15"/>
        <v>0</v>
      </c>
      <c r="K89" s="37">
        <f t="shared" si="15"/>
        <v>35.948588630156571</v>
      </c>
      <c r="L89" s="37">
        <f t="shared" si="15"/>
        <v>0</v>
      </c>
      <c r="M89" s="113">
        <f t="shared" si="15"/>
        <v>3974.7139632960698</v>
      </c>
      <c r="N89" s="62">
        <f>SUM('Kalkylerad finansiering av soci'!$C89:$L89)</f>
        <v>3974.7139632960702</v>
      </c>
    </row>
    <row r="90" spans="1:14" x14ac:dyDescent="0.35">
      <c r="A90" s="35">
        <v>9</v>
      </c>
      <c r="B90" s="112" t="s">
        <v>59</v>
      </c>
      <c r="C90" s="37">
        <f t="shared" si="13"/>
        <v>474.65741303835534</v>
      </c>
      <c r="D90" s="37">
        <f t="shared" si="15"/>
        <v>1808.2126965368027</v>
      </c>
      <c r="E90" s="37">
        <f t="shared" si="15"/>
        <v>730.09864277316876</v>
      </c>
      <c r="F90" s="37">
        <f t="shared" si="15"/>
        <v>640.56821365446979</v>
      </c>
      <c r="G90" s="37">
        <f t="shared" si="15"/>
        <v>60.981079043894994</v>
      </c>
      <c r="H90" s="37">
        <f t="shared" si="15"/>
        <v>0</v>
      </c>
      <c r="I90" s="37">
        <f t="shared" si="15"/>
        <v>39.824861346437466</v>
      </c>
      <c r="J90" s="37">
        <f t="shared" si="15"/>
        <v>0</v>
      </c>
      <c r="K90" s="37">
        <f t="shared" si="15"/>
        <v>33.719766376413638</v>
      </c>
      <c r="L90" s="37">
        <f t="shared" si="15"/>
        <v>0</v>
      </c>
      <c r="M90" s="113">
        <f t="shared" si="15"/>
        <v>3788.062672769543</v>
      </c>
      <c r="N90" s="62">
        <f>SUM('Kalkylerad finansiering av soci'!$C90:$L90)</f>
        <v>3788.0626727695426</v>
      </c>
    </row>
    <row r="91" spans="1:14" x14ac:dyDescent="0.35">
      <c r="A91" s="35">
        <v>10</v>
      </c>
      <c r="B91" s="112" t="s">
        <v>61</v>
      </c>
      <c r="C91" s="37">
        <f t="shared" si="13"/>
        <v>474.65741303835534</v>
      </c>
      <c r="D91" s="37">
        <f t="shared" si="15"/>
        <v>1982.8975374729175</v>
      </c>
      <c r="E91" s="37">
        <f t="shared" si="15"/>
        <v>851.68171272990355</v>
      </c>
      <c r="F91" s="37">
        <f t="shared" si="15"/>
        <v>768.98993796215177</v>
      </c>
      <c r="G91" s="37">
        <f t="shared" si="15"/>
        <v>33.055204330255719</v>
      </c>
      <c r="H91" s="37">
        <f t="shared" si="15"/>
        <v>0</v>
      </c>
      <c r="I91" s="37">
        <f t="shared" si="15"/>
        <v>89.239770015041515</v>
      </c>
      <c r="J91" s="37">
        <f t="shared" si="15"/>
        <v>27.649204631442345</v>
      </c>
      <c r="K91" s="37">
        <f t="shared" si="15"/>
        <v>35.255858244990307</v>
      </c>
      <c r="L91" s="37">
        <f t="shared" si="15"/>
        <v>0</v>
      </c>
      <c r="M91" s="113">
        <f t="shared" si="15"/>
        <v>4263.4266384250586</v>
      </c>
      <c r="N91" s="62">
        <f>SUM('Kalkylerad finansiering av soci'!$C91:$L91)</f>
        <v>4263.4266384250586</v>
      </c>
    </row>
    <row r="92" spans="1:14" x14ac:dyDescent="0.35">
      <c r="A92" s="35">
        <v>11</v>
      </c>
      <c r="B92" s="112" t="s">
        <v>63</v>
      </c>
      <c r="C92" s="37">
        <f t="shared" si="13"/>
        <v>474.65741303835534</v>
      </c>
      <c r="D92" s="37">
        <f t="shared" si="15"/>
        <v>1894.0470390800467</v>
      </c>
      <c r="E92" s="37">
        <f t="shared" si="15"/>
        <v>706.57594202021346</v>
      </c>
      <c r="F92" s="37">
        <f t="shared" si="15"/>
        <v>743.39210832875631</v>
      </c>
      <c r="G92" s="37">
        <f t="shared" si="15"/>
        <v>29.957090187948083</v>
      </c>
      <c r="H92" s="37">
        <f t="shared" si="15"/>
        <v>0</v>
      </c>
      <c r="I92" s="37">
        <f t="shared" si="15"/>
        <v>66.678353165707961</v>
      </c>
      <c r="J92" s="37">
        <f t="shared" si="15"/>
        <v>0</v>
      </c>
      <c r="K92" s="37">
        <f t="shared" si="15"/>
        <v>36.399333062471101</v>
      </c>
      <c r="L92" s="37">
        <f t="shared" si="15"/>
        <v>0</v>
      </c>
      <c r="M92" s="113">
        <f t="shared" si="15"/>
        <v>3951.7072788834989</v>
      </c>
      <c r="N92" s="62">
        <f>SUM('Kalkylerad finansiering av soci'!$C92:$L92)</f>
        <v>3951.7072788834989</v>
      </c>
    </row>
    <row r="93" spans="1:14" x14ac:dyDescent="0.35">
      <c r="A93" s="35">
        <v>12</v>
      </c>
      <c r="B93" s="112" t="s">
        <v>65</v>
      </c>
      <c r="C93" s="37">
        <f t="shared" si="13"/>
        <v>474.6574130383554</v>
      </c>
      <c r="D93" s="37">
        <f t="shared" si="15"/>
        <v>1925.522414615896</v>
      </c>
      <c r="E93" s="37">
        <f t="shared" si="15"/>
        <v>744.02632518763312</v>
      </c>
      <c r="F93" s="37">
        <f t="shared" si="15"/>
        <v>791.78239301683993</v>
      </c>
      <c r="G93" s="37">
        <f t="shared" si="15"/>
        <v>36.786390202781064</v>
      </c>
      <c r="H93" s="37">
        <f t="shared" si="15"/>
        <v>0</v>
      </c>
      <c r="I93" s="37">
        <f t="shared" si="15"/>
        <v>109.25589211749599</v>
      </c>
      <c r="J93" s="37">
        <f t="shared" si="15"/>
        <v>0</v>
      </c>
      <c r="K93" s="37">
        <f t="shared" si="15"/>
        <v>31.726745758813298</v>
      </c>
      <c r="L93" s="37">
        <f t="shared" si="15"/>
        <v>0</v>
      </c>
      <c r="M93" s="113">
        <f t="shared" si="15"/>
        <v>4113.7575739378144</v>
      </c>
      <c r="N93" s="62">
        <f>SUM('Kalkylerad finansiering av soci'!$C93:$L93)</f>
        <v>4113.7575739378144</v>
      </c>
    </row>
    <row r="94" spans="1:14" x14ac:dyDescent="0.35">
      <c r="A94" s="35">
        <v>13</v>
      </c>
      <c r="B94" s="112" t="s">
        <v>67</v>
      </c>
      <c r="C94" s="37">
        <f t="shared" si="13"/>
        <v>474.65741303835534</v>
      </c>
      <c r="D94" s="37">
        <f t="shared" si="15"/>
        <v>1748.43657730005</v>
      </c>
      <c r="E94" s="37">
        <f t="shared" si="15"/>
        <v>616.51284646278452</v>
      </c>
      <c r="F94" s="37">
        <f t="shared" si="15"/>
        <v>647.50581276941762</v>
      </c>
      <c r="G94" s="37">
        <f t="shared" si="15"/>
        <v>33.20442365140665</v>
      </c>
      <c r="H94" s="37">
        <f t="shared" si="15"/>
        <v>0</v>
      </c>
      <c r="I94" s="37">
        <f t="shared" si="15"/>
        <v>56.510226405144152</v>
      </c>
      <c r="J94" s="37">
        <f t="shared" si="15"/>
        <v>0</v>
      </c>
      <c r="K94" s="37">
        <f t="shared" si="15"/>
        <v>30.529927550528754</v>
      </c>
      <c r="L94" s="37">
        <f t="shared" si="15"/>
        <v>0</v>
      </c>
      <c r="M94" s="113">
        <f t="shared" si="15"/>
        <v>3607.3572271776866</v>
      </c>
      <c r="N94" s="62">
        <f>SUM('Kalkylerad finansiering av soci'!$C94:$L94)</f>
        <v>3607.357227177687</v>
      </c>
    </row>
    <row r="95" spans="1:14" x14ac:dyDescent="0.35">
      <c r="A95" s="35">
        <v>14</v>
      </c>
      <c r="B95" s="112" t="s">
        <v>69</v>
      </c>
      <c r="C95" s="37">
        <f t="shared" si="13"/>
        <v>474.65741303835534</v>
      </c>
      <c r="D95" s="37">
        <f t="shared" si="15"/>
        <v>1867.2322207468692</v>
      </c>
      <c r="E95" s="37">
        <f t="shared" si="15"/>
        <v>730.00003063198415</v>
      </c>
      <c r="F95" s="37">
        <f t="shared" si="15"/>
        <v>659.57365570736476</v>
      </c>
      <c r="G95" s="37">
        <f t="shared" si="15"/>
        <v>21.281030003293822</v>
      </c>
      <c r="H95" s="37">
        <f t="shared" si="15"/>
        <v>0</v>
      </c>
      <c r="I95" s="37">
        <f t="shared" si="15"/>
        <v>68.358309940752392</v>
      </c>
      <c r="J95" s="37">
        <f t="shared" si="15"/>
        <v>0</v>
      </c>
      <c r="K95" s="37">
        <f t="shared" si="15"/>
        <v>37.682091238660412</v>
      </c>
      <c r="L95" s="37">
        <f t="shared" si="15"/>
        <v>0</v>
      </c>
      <c r="M95" s="113">
        <f t="shared" si="15"/>
        <v>3858.7847513072797</v>
      </c>
      <c r="N95" s="62">
        <f>SUM('Kalkylerad finansiering av soci'!$C95:$L95)</f>
        <v>3858.7847513072807</v>
      </c>
    </row>
    <row r="96" spans="1:14" x14ac:dyDescent="0.35">
      <c r="A96" s="35">
        <v>15</v>
      </c>
      <c r="B96" s="112" t="s">
        <v>71</v>
      </c>
      <c r="C96" s="37">
        <f t="shared" si="13"/>
        <v>474.65741303835534</v>
      </c>
      <c r="D96" s="37">
        <f t="shared" si="15"/>
        <v>1594.3686100325576</v>
      </c>
      <c r="E96" s="37">
        <f t="shared" si="15"/>
        <v>567.41038429151774</v>
      </c>
      <c r="F96" s="37">
        <f t="shared" si="15"/>
        <v>506.58008986102186</v>
      </c>
      <c r="G96" s="37">
        <f t="shared" si="15"/>
        <v>69.09690805908356</v>
      </c>
      <c r="H96" s="37">
        <f t="shared" si="15"/>
        <v>194.6520150163017</v>
      </c>
      <c r="I96" s="37">
        <f t="shared" si="15"/>
        <v>40.436353515904834</v>
      </c>
      <c r="J96" s="37">
        <f t="shared" si="15"/>
        <v>19.335957400642261</v>
      </c>
      <c r="K96" s="37">
        <f t="shared" si="15"/>
        <v>34.361953285540487</v>
      </c>
      <c r="L96" s="37">
        <f t="shared" si="15"/>
        <v>0</v>
      </c>
      <c r="M96" s="113">
        <f t="shared" si="15"/>
        <v>3500.899684500926</v>
      </c>
      <c r="N96" s="62">
        <f>SUM('Kalkylerad finansiering av soci'!$C96:$L96)</f>
        <v>3500.8996845009256</v>
      </c>
    </row>
    <row r="97" spans="1:14" x14ac:dyDescent="0.35">
      <c r="A97" s="35">
        <v>16</v>
      </c>
      <c r="B97" s="112" t="s">
        <v>73</v>
      </c>
      <c r="C97" s="37">
        <f t="shared" si="13"/>
        <v>474.65741303835534</v>
      </c>
      <c r="D97" s="37">
        <f t="shared" si="15"/>
        <v>1785.226862494083</v>
      </c>
      <c r="E97" s="37">
        <f t="shared" si="15"/>
        <v>626.36494038320711</v>
      </c>
      <c r="F97" s="37">
        <f t="shared" si="15"/>
        <v>653.51212944960855</v>
      </c>
      <c r="G97" s="37">
        <f t="shared" si="15"/>
        <v>28.907988602198976</v>
      </c>
      <c r="H97" s="37">
        <f t="shared" si="15"/>
        <v>34.674835865632716</v>
      </c>
      <c r="I97" s="37">
        <f t="shared" si="15"/>
        <v>70.60716046575557</v>
      </c>
      <c r="J97" s="37">
        <f t="shared" si="15"/>
        <v>0</v>
      </c>
      <c r="K97" s="37">
        <f t="shared" si="15"/>
        <v>40.256942026600136</v>
      </c>
      <c r="L97" s="37">
        <f t="shared" si="15"/>
        <v>0</v>
      </c>
      <c r="M97" s="113">
        <f t="shared" si="15"/>
        <v>3714.2082723254416</v>
      </c>
      <c r="N97" s="62">
        <f>SUM('Kalkylerad finansiering av soci'!$C97:$L97)</f>
        <v>3714.2082723254412</v>
      </c>
    </row>
    <row r="98" spans="1:14" x14ac:dyDescent="0.35">
      <c r="A98" s="35">
        <v>17</v>
      </c>
      <c r="B98" s="112" t="s">
        <v>75</v>
      </c>
      <c r="C98" s="37">
        <f t="shared" si="13"/>
        <v>474.65741303835534</v>
      </c>
      <c r="D98" s="37">
        <f t="shared" si="15"/>
        <v>1661.3949203955285</v>
      </c>
      <c r="E98" s="37">
        <f t="shared" si="15"/>
        <v>528.45095035778672</v>
      </c>
      <c r="F98" s="37">
        <f t="shared" si="15"/>
        <v>686.16707783290099</v>
      </c>
      <c r="G98" s="37">
        <f t="shared" si="15"/>
        <v>28.224239428578528</v>
      </c>
      <c r="H98" s="37">
        <f t="shared" si="15"/>
        <v>0</v>
      </c>
      <c r="I98" s="37">
        <f t="shared" si="15"/>
        <v>85.9950187867409</v>
      </c>
      <c r="J98" s="37">
        <f t="shared" si="15"/>
        <v>1.4650064887395431</v>
      </c>
      <c r="K98" s="37">
        <f t="shared" si="15"/>
        <v>35.961327424747786</v>
      </c>
      <c r="L98" s="37">
        <f t="shared" si="15"/>
        <v>0</v>
      </c>
      <c r="M98" s="113">
        <f t="shared" si="15"/>
        <v>3502.3159537533779</v>
      </c>
      <c r="N98" s="62">
        <f>SUM('Kalkylerad finansiering av soci'!$C98:$L98)</f>
        <v>3502.3159537533779</v>
      </c>
    </row>
    <row r="99" spans="1:14" x14ac:dyDescent="0.35">
      <c r="A99" s="35">
        <v>18</v>
      </c>
      <c r="B99" s="112" t="s">
        <v>77</v>
      </c>
      <c r="C99" s="37">
        <f t="shared" si="13"/>
        <v>474.65741303835529</v>
      </c>
      <c r="D99" s="37">
        <f t="shared" si="15"/>
        <v>1904.0923716978707</v>
      </c>
      <c r="E99" s="37">
        <f t="shared" si="15"/>
        <v>813.90471247058383</v>
      </c>
      <c r="F99" s="37">
        <f t="shared" si="15"/>
        <v>790.10547793562296</v>
      </c>
      <c r="G99" s="37">
        <f t="shared" si="15"/>
        <v>27.324085242742644</v>
      </c>
      <c r="H99" s="37">
        <f t="shared" si="15"/>
        <v>0</v>
      </c>
      <c r="I99" s="37">
        <f t="shared" si="15"/>
        <v>266.11865415084071</v>
      </c>
      <c r="J99" s="37">
        <f t="shared" si="15"/>
        <v>0</v>
      </c>
      <c r="K99" s="37">
        <f t="shared" si="15"/>
        <v>38.826080568397281</v>
      </c>
      <c r="L99" s="37">
        <f t="shared" si="15"/>
        <v>0</v>
      </c>
      <c r="M99" s="113">
        <f t="shared" si="15"/>
        <v>4315.0287951044129</v>
      </c>
      <c r="N99" s="62">
        <f>SUM('Kalkylerad finansiering av soci'!$C99:$L99)</f>
        <v>4315.0287951044138</v>
      </c>
    </row>
    <row r="100" spans="1:14" x14ac:dyDescent="0.35">
      <c r="A100" s="35">
        <v>19</v>
      </c>
      <c r="B100" s="112" t="s">
        <v>79</v>
      </c>
      <c r="C100" s="37">
        <f t="shared" si="13"/>
        <v>474.6574130383554</v>
      </c>
      <c r="D100" s="37">
        <f t="shared" si="15"/>
        <v>1819.1185707953396</v>
      </c>
      <c r="E100" s="37">
        <f t="shared" si="15"/>
        <v>696.13958541358215</v>
      </c>
      <c r="F100" s="37">
        <f t="shared" si="15"/>
        <v>799.9703980588456</v>
      </c>
      <c r="G100" s="37">
        <f t="shared" si="15"/>
        <v>28.140615362312882</v>
      </c>
      <c r="H100" s="37">
        <f t="shared" si="15"/>
        <v>0</v>
      </c>
      <c r="I100" s="37">
        <f t="shared" si="15"/>
        <v>499.74040469046378</v>
      </c>
      <c r="J100" s="37">
        <f t="shared" si="15"/>
        <v>0</v>
      </c>
      <c r="K100" s="37">
        <f t="shared" si="15"/>
        <v>34.507070600732654</v>
      </c>
      <c r="L100" s="37">
        <f t="shared" si="15"/>
        <v>14.003876272952354</v>
      </c>
      <c r="M100" s="113">
        <f t="shared" si="15"/>
        <v>4366.2779342325839</v>
      </c>
      <c r="N100" s="62">
        <f>SUM('Kalkylerad finansiering av soci'!$C100:$L100)</f>
        <v>4366.2779342325848</v>
      </c>
    </row>
    <row r="101" spans="1:14" x14ac:dyDescent="0.35">
      <c r="A101" s="29"/>
      <c r="B101" s="28" t="s">
        <v>35</v>
      </c>
      <c r="C101" s="113">
        <f>C72/$C45</f>
        <v>474.65741303835546</v>
      </c>
      <c r="D101" s="113">
        <f t="shared" ref="D101:M101" si="16">D72/$C45</f>
        <v>1703.7506955741278</v>
      </c>
      <c r="E101" s="113">
        <f t="shared" si="16"/>
        <v>569.68953772595046</v>
      </c>
      <c r="F101" s="113">
        <f t="shared" si="16"/>
        <v>606.51430222415433</v>
      </c>
      <c r="G101" s="113">
        <f t="shared" si="16"/>
        <v>70.717115666647842</v>
      </c>
      <c r="H101" s="113">
        <f t="shared" si="16"/>
        <v>17.679278916661957</v>
      </c>
      <c r="I101" s="113">
        <f t="shared" si="16"/>
        <v>53.037836749985871</v>
      </c>
      <c r="J101" s="113">
        <f t="shared" si="16"/>
        <v>3.9955170351656029</v>
      </c>
      <c r="K101" s="113">
        <f t="shared" si="16"/>
        <v>35.358557833323935</v>
      </c>
      <c r="L101" s="113">
        <f t="shared" si="16"/>
        <v>0.45552856801861474</v>
      </c>
      <c r="M101" s="113">
        <f t="shared" si="16"/>
        <v>3535.8557833323921</v>
      </c>
      <c r="N101" s="62">
        <f>SUM('Kalkylerad finansiering av soci'!$C101:$L101)</f>
        <v>3535.8557833323921</v>
      </c>
    </row>
    <row r="102" spans="1:14" x14ac:dyDescent="0.35">
      <c r="A102" s="35"/>
      <c r="B102" s="112" t="s">
        <v>401</v>
      </c>
      <c r="C102" s="245">
        <f>C101/$N$101</f>
        <v>0.13424116879309236</v>
      </c>
      <c r="D102" s="245">
        <f t="shared" ref="D102:M102" si="17">D101/$N$101</f>
        <v>0.48184960020298567</v>
      </c>
      <c r="E102" s="245">
        <f t="shared" si="17"/>
        <v>0.16111786583926863</v>
      </c>
      <c r="F102" s="245">
        <f t="shared" si="17"/>
        <v>0.17153253395774548</v>
      </c>
      <c r="G102" s="245">
        <f t="shared" si="17"/>
        <v>0.02</v>
      </c>
      <c r="H102" s="245">
        <f t="shared" si="17"/>
        <v>4.9999999999999992E-3</v>
      </c>
      <c r="I102" s="245">
        <f t="shared" si="17"/>
        <v>1.4999999999999998E-2</v>
      </c>
      <c r="J102" s="245">
        <f t="shared" si="17"/>
        <v>1.1299999999999999E-3</v>
      </c>
      <c r="K102" s="245">
        <f t="shared" si="17"/>
        <v>1.0000000000000004E-2</v>
      </c>
      <c r="L102" s="245">
        <f t="shared" si="17"/>
        <v>1.2883120690779381E-4</v>
      </c>
      <c r="M102" s="245">
        <f t="shared" si="17"/>
        <v>1</v>
      </c>
      <c r="N102" s="246"/>
    </row>
    <row r="104" spans="1:14" x14ac:dyDescent="0.35">
      <c r="A104" s="17" t="s">
        <v>404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464" customFormat="1" ht="31" x14ac:dyDescent="0.3">
      <c r="A105" s="456" t="s">
        <v>22</v>
      </c>
      <c r="B105" s="456" t="s">
        <v>34</v>
      </c>
      <c r="C105" s="456" t="s">
        <v>372</v>
      </c>
      <c r="D105" s="473" t="s">
        <v>374</v>
      </c>
      <c r="E105" s="473" t="s">
        <v>375</v>
      </c>
      <c r="F105" s="473" t="s">
        <v>376</v>
      </c>
      <c r="G105" s="474" t="s">
        <v>377</v>
      </c>
      <c r="H105" s="473" t="s">
        <v>378</v>
      </c>
      <c r="I105" s="473" t="s">
        <v>379</v>
      </c>
      <c r="J105" s="473" t="s">
        <v>380</v>
      </c>
      <c r="K105" s="473" t="s">
        <v>381</v>
      </c>
      <c r="L105" s="475" t="s">
        <v>382</v>
      </c>
      <c r="M105" s="476" t="s">
        <v>399</v>
      </c>
      <c r="N105" s="478" t="s">
        <v>400</v>
      </c>
    </row>
    <row r="106" spans="1:14" x14ac:dyDescent="0.35">
      <c r="A106" s="247">
        <v>31</v>
      </c>
      <c r="B106" s="28" t="s">
        <v>37</v>
      </c>
      <c r="C106" s="86">
        <f t="shared" ref="C106:C127" si="18">C23*B$18</f>
        <v>307597939.26020187</v>
      </c>
      <c r="D106" s="86">
        <f t="shared" ref="D106:D127" si="19">D23*$D$18*$C23</f>
        <v>985314106.23613572</v>
      </c>
      <c r="E106" s="86">
        <f t="shared" ref="E106:E127" si="20">E23*C23*E$18</f>
        <v>266863343.3770662</v>
      </c>
      <c r="F106" s="86">
        <f t="shared" ref="F106:F127" si="21">F23*C23*F$18</f>
        <v>319208342.89806134</v>
      </c>
      <c r="G106" s="86">
        <f t="shared" ref="G106:H127" si="22">G23*G$18</f>
        <v>101536359.79133669</v>
      </c>
      <c r="H106" s="86">
        <f t="shared" si="22"/>
        <v>14014602.968875796</v>
      </c>
      <c r="I106" s="86">
        <f t="shared" ref="I106:I127" si="23">I23*I$18*$C23</f>
        <v>206250.85417822524</v>
      </c>
      <c r="J106" s="86">
        <f t="shared" ref="J106:J127" si="24">J23*$J$18</f>
        <v>0</v>
      </c>
      <c r="K106" s="86">
        <f t="shared" ref="K106:K127" si="25">K$18*$C23</f>
        <v>22913830.535422899</v>
      </c>
      <c r="L106" s="86">
        <f t="shared" ref="L106:L127" si="26">L$18*L23</f>
        <v>0</v>
      </c>
      <c r="M106" s="115">
        <f t="shared" ref="M106:M127" si="27">SUM(C106:L106)</f>
        <v>2017654775.9212787</v>
      </c>
      <c r="N106" s="249">
        <f t="shared" ref="N106:N128" si="28">M106/C23</f>
        <v>3113.4629791298694</v>
      </c>
    </row>
    <row r="107" spans="1:14" x14ac:dyDescent="0.35">
      <c r="A107" s="248">
        <v>32</v>
      </c>
      <c r="B107" s="112" t="s">
        <v>39</v>
      </c>
      <c r="C107" s="37">
        <f t="shared" si="18"/>
        <v>125508913.15560192</v>
      </c>
      <c r="D107" s="37">
        <f t="shared" si="19"/>
        <v>402548564.19954598</v>
      </c>
      <c r="E107" s="37">
        <f t="shared" si="20"/>
        <v>74727547.49670513</v>
      </c>
      <c r="F107" s="37">
        <f t="shared" si="21"/>
        <v>131382477.4938525</v>
      </c>
      <c r="G107" s="37">
        <f t="shared" si="22"/>
        <v>46887711.011524111</v>
      </c>
      <c r="H107" s="37">
        <f t="shared" si="22"/>
        <v>2310896.1291026687</v>
      </c>
      <c r="I107" s="37">
        <f t="shared" si="23"/>
        <v>258956.73173368766</v>
      </c>
      <c r="J107" s="37">
        <f t="shared" si="24"/>
        <v>0</v>
      </c>
      <c r="K107" s="37">
        <f t="shared" si="25"/>
        <v>9349509.862287512</v>
      </c>
      <c r="L107" s="37">
        <f t="shared" si="26"/>
        <v>0</v>
      </c>
      <c r="M107" s="116">
        <f t="shared" si="27"/>
        <v>792974576.0803535</v>
      </c>
      <c r="N107" s="250">
        <f t="shared" si="28"/>
        <v>2998.9205660704692</v>
      </c>
    </row>
    <row r="108" spans="1:14" x14ac:dyDescent="0.35">
      <c r="A108" s="248">
        <v>33</v>
      </c>
      <c r="B108" s="112" t="s">
        <v>41</v>
      </c>
      <c r="C108" s="37">
        <f t="shared" si="18"/>
        <v>220384386.18853447</v>
      </c>
      <c r="D108" s="37">
        <f t="shared" si="19"/>
        <v>683959901.75212181</v>
      </c>
      <c r="E108" s="37">
        <f t="shared" si="20"/>
        <v>150567179.89207497</v>
      </c>
      <c r="F108" s="37">
        <f t="shared" si="21"/>
        <v>206565288.5951978</v>
      </c>
      <c r="G108" s="37">
        <f t="shared" si="22"/>
        <v>58000121.456057929</v>
      </c>
      <c r="H108" s="37">
        <f t="shared" si="22"/>
        <v>22193656.150913976</v>
      </c>
      <c r="I108" s="37">
        <f t="shared" si="23"/>
        <v>4086183.2004487533</v>
      </c>
      <c r="J108" s="37">
        <f t="shared" si="24"/>
        <v>0</v>
      </c>
      <c r="K108" s="37">
        <f t="shared" si="25"/>
        <v>16417049.119127963</v>
      </c>
      <c r="L108" s="37">
        <f t="shared" si="26"/>
        <v>0</v>
      </c>
      <c r="M108" s="116">
        <f t="shared" si="27"/>
        <v>1362173766.3544776</v>
      </c>
      <c r="N108" s="250">
        <f t="shared" si="28"/>
        <v>2933.809818511395</v>
      </c>
    </row>
    <row r="109" spans="1:14" x14ac:dyDescent="0.35">
      <c r="A109" s="248">
        <v>34</v>
      </c>
      <c r="B109" s="112" t="s">
        <v>43</v>
      </c>
      <c r="C109" s="37">
        <f t="shared" si="18"/>
        <v>46166603.964349553</v>
      </c>
      <c r="D109" s="37">
        <f t="shared" si="19"/>
        <v>161211465.75722739</v>
      </c>
      <c r="E109" s="37">
        <f t="shared" si="20"/>
        <v>48703299.801966965</v>
      </c>
      <c r="F109" s="37">
        <f t="shared" si="21"/>
        <v>49476120.037156679</v>
      </c>
      <c r="G109" s="37">
        <f t="shared" si="22"/>
        <v>5425576.5639544604</v>
      </c>
      <c r="H109" s="37">
        <f t="shared" si="22"/>
        <v>10938778.73860601</v>
      </c>
      <c r="I109" s="37">
        <f t="shared" si="23"/>
        <v>2600628.3316402961</v>
      </c>
      <c r="J109" s="37">
        <f t="shared" si="24"/>
        <v>0</v>
      </c>
      <c r="K109" s="37">
        <f t="shared" si="25"/>
        <v>3439079.4105425845</v>
      </c>
      <c r="L109" s="37">
        <f t="shared" si="26"/>
        <v>0</v>
      </c>
      <c r="M109" s="116">
        <f t="shared" si="27"/>
        <v>327961552.60544401</v>
      </c>
      <c r="N109" s="250">
        <f t="shared" si="28"/>
        <v>3371.9045536889057</v>
      </c>
    </row>
    <row r="110" spans="1:14" x14ac:dyDescent="0.35">
      <c r="A110" s="248">
        <v>35</v>
      </c>
      <c r="B110" s="112" t="s">
        <v>45</v>
      </c>
      <c r="C110" s="37">
        <f t="shared" si="18"/>
        <v>93506086.396316886</v>
      </c>
      <c r="D110" s="37">
        <f t="shared" si="19"/>
        <v>313155229.56585711</v>
      </c>
      <c r="E110" s="37">
        <f t="shared" si="20"/>
        <v>77768572.023764402</v>
      </c>
      <c r="F110" s="37">
        <f t="shared" si="21"/>
        <v>99867424.793782532</v>
      </c>
      <c r="G110" s="37">
        <f t="shared" si="22"/>
        <v>9923789.3704235964</v>
      </c>
      <c r="H110" s="37">
        <f t="shared" si="22"/>
        <v>0</v>
      </c>
      <c r="I110" s="37">
        <f t="shared" si="23"/>
        <v>1606619.547555031</v>
      </c>
      <c r="J110" s="37">
        <f t="shared" si="24"/>
        <v>0</v>
      </c>
      <c r="K110" s="37">
        <f t="shared" si="25"/>
        <v>6965529.8174913125</v>
      </c>
      <c r="L110" s="37">
        <f t="shared" si="26"/>
        <v>0</v>
      </c>
      <c r="M110" s="113">
        <f t="shared" si="27"/>
        <v>602793251.51519096</v>
      </c>
      <c r="N110" s="251">
        <f t="shared" si="28"/>
        <v>3059.9108185159721</v>
      </c>
    </row>
    <row r="111" spans="1:14" x14ac:dyDescent="0.35">
      <c r="A111" s="35">
        <v>2</v>
      </c>
      <c r="B111" s="112" t="s">
        <v>47</v>
      </c>
      <c r="C111" s="37">
        <f t="shared" si="18"/>
        <v>227162494.04672217</v>
      </c>
      <c r="D111" s="37">
        <f t="shared" si="19"/>
        <v>834919034.02027404</v>
      </c>
      <c r="E111" s="37">
        <f t="shared" si="20"/>
        <v>301178986.60376072</v>
      </c>
      <c r="F111" s="37">
        <f t="shared" si="21"/>
        <v>291807411.4865073</v>
      </c>
      <c r="G111" s="37">
        <f t="shared" si="22"/>
        <v>34084108.16624286</v>
      </c>
      <c r="H111" s="37">
        <f t="shared" si="22"/>
        <v>10410541.02782009</v>
      </c>
      <c r="I111" s="37">
        <f t="shared" si="23"/>
        <v>10266363.696192803</v>
      </c>
      <c r="J111" s="37">
        <f t="shared" si="24"/>
        <v>14143840.471635196</v>
      </c>
      <c r="K111" s="37">
        <f t="shared" si="25"/>
        <v>16921969.324987829</v>
      </c>
      <c r="L111" s="37">
        <f t="shared" si="26"/>
        <v>0</v>
      </c>
      <c r="M111" s="116">
        <f t="shared" si="27"/>
        <v>1740894748.8441429</v>
      </c>
      <c r="N111" s="250">
        <f t="shared" si="28"/>
        <v>3637.610166793032</v>
      </c>
    </row>
    <row r="112" spans="1:14" x14ac:dyDescent="0.35">
      <c r="A112" s="35">
        <v>4</v>
      </c>
      <c r="B112" s="112" t="s">
        <v>49</v>
      </c>
      <c r="C112" s="37">
        <f t="shared" si="18"/>
        <v>103771502.2680974</v>
      </c>
      <c r="D112" s="37">
        <f t="shared" si="19"/>
        <v>391328366.66436416</v>
      </c>
      <c r="E112" s="37">
        <f t="shared" si="20"/>
        <v>156395949.63985085</v>
      </c>
      <c r="F112" s="37">
        <f t="shared" si="21"/>
        <v>147565934.32089168</v>
      </c>
      <c r="G112" s="37">
        <f t="shared" si="22"/>
        <v>7610365.803363434</v>
      </c>
      <c r="H112" s="37">
        <f t="shared" si="22"/>
        <v>0</v>
      </c>
      <c r="I112" s="37">
        <f t="shared" si="23"/>
        <v>7528334.270424813</v>
      </c>
      <c r="J112" s="37">
        <f t="shared" si="24"/>
        <v>0</v>
      </c>
      <c r="K112" s="37">
        <f t="shared" si="25"/>
        <v>7730229.3477526093</v>
      </c>
      <c r="L112" s="37">
        <f t="shared" si="26"/>
        <v>0</v>
      </c>
      <c r="M112" s="116">
        <f t="shared" si="27"/>
        <v>821930682.31474483</v>
      </c>
      <c r="N112" s="250">
        <f t="shared" si="28"/>
        <v>3759.5629131053538</v>
      </c>
    </row>
    <row r="113" spans="1:14" x14ac:dyDescent="0.35">
      <c r="A113" s="35">
        <v>5</v>
      </c>
      <c r="B113" s="112" t="s">
        <v>51</v>
      </c>
      <c r="C113" s="37">
        <f t="shared" si="18"/>
        <v>81339192.927904725</v>
      </c>
      <c r="D113" s="37">
        <f t="shared" si="19"/>
        <v>310244803.71300447</v>
      </c>
      <c r="E113" s="37">
        <f t="shared" si="20"/>
        <v>108248924.47577281</v>
      </c>
      <c r="F113" s="37">
        <f t="shared" si="21"/>
        <v>105504801.67017972</v>
      </c>
      <c r="G113" s="37">
        <f t="shared" si="22"/>
        <v>6981154.4797362946</v>
      </c>
      <c r="H113" s="37">
        <f t="shared" si="22"/>
        <v>0</v>
      </c>
      <c r="I113" s="37">
        <f t="shared" si="23"/>
        <v>5004651.706693341</v>
      </c>
      <c r="J113" s="37">
        <f t="shared" si="24"/>
        <v>0</v>
      </c>
      <c r="K113" s="37">
        <f t="shared" si="25"/>
        <v>6059183.9045497207</v>
      </c>
      <c r="L113" s="37">
        <f t="shared" si="26"/>
        <v>0</v>
      </c>
      <c r="M113" s="116">
        <f t="shared" si="27"/>
        <v>623382712.877841</v>
      </c>
      <c r="N113" s="250">
        <f t="shared" si="28"/>
        <v>3637.7693849223933</v>
      </c>
    </row>
    <row r="114" spans="1:14" x14ac:dyDescent="0.35">
      <c r="A114" s="35">
        <v>6</v>
      </c>
      <c r="B114" s="112" t="s">
        <v>53</v>
      </c>
      <c r="C114" s="37">
        <f t="shared" si="18"/>
        <v>245555943.45937148</v>
      </c>
      <c r="D114" s="37">
        <f t="shared" si="19"/>
        <v>887232187.49648654</v>
      </c>
      <c r="E114" s="37">
        <f t="shared" si="20"/>
        <v>302845781.58060265</v>
      </c>
      <c r="F114" s="37">
        <f t="shared" si="21"/>
        <v>302390165.13545793</v>
      </c>
      <c r="G114" s="37">
        <f t="shared" si="22"/>
        <v>24926141.76974263</v>
      </c>
      <c r="H114" s="37">
        <f t="shared" si="22"/>
        <v>0</v>
      </c>
      <c r="I114" s="37">
        <f t="shared" si="23"/>
        <v>12753580.531306909</v>
      </c>
      <c r="J114" s="37">
        <f t="shared" si="24"/>
        <v>0</v>
      </c>
      <c r="K114" s="37">
        <f t="shared" si="25"/>
        <v>18292148.799586963</v>
      </c>
      <c r="L114" s="37">
        <f t="shared" si="26"/>
        <v>0</v>
      </c>
      <c r="M114" s="116">
        <f t="shared" si="27"/>
        <v>1793995948.7725554</v>
      </c>
      <c r="N114" s="250">
        <f t="shared" si="28"/>
        <v>3467.7779085667362</v>
      </c>
    </row>
    <row r="115" spans="1:14" x14ac:dyDescent="0.35">
      <c r="A115" s="35">
        <v>7</v>
      </c>
      <c r="B115" s="112" t="s">
        <v>55</v>
      </c>
      <c r="C115" s="37">
        <f t="shared" si="18"/>
        <v>98441099.51967667</v>
      </c>
      <c r="D115" s="37">
        <f t="shared" si="19"/>
        <v>380896004.75519609</v>
      </c>
      <c r="E115" s="37">
        <f t="shared" si="20"/>
        <v>137000905.77254874</v>
      </c>
      <c r="F115" s="37">
        <f t="shared" si="21"/>
        <v>133335691.15320721</v>
      </c>
      <c r="G115" s="37">
        <f t="shared" si="22"/>
        <v>10674654.864387522</v>
      </c>
      <c r="H115" s="37">
        <f t="shared" si="22"/>
        <v>0</v>
      </c>
      <c r="I115" s="37">
        <f t="shared" si="23"/>
        <v>5500250.6086678272</v>
      </c>
      <c r="J115" s="37">
        <f t="shared" si="24"/>
        <v>0</v>
      </c>
      <c r="K115" s="37">
        <f t="shared" si="25"/>
        <v>7333152.743284381</v>
      </c>
      <c r="L115" s="37">
        <f t="shared" si="26"/>
        <v>0</v>
      </c>
      <c r="M115" s="116">
        <f t="shared" si="27"/>
        <v>773181759.41696835</v>
      </c>
      <c r="N115" s="250">
        <f t="shared" si="28"/>
        <v>3728.0816196079363</v>
      </c>
    </row>
    <row r="116" spans="1:14" x14ac:dyDescent="0.35">
      <c r="A116" s="35">
        <v>8</v>
      </c>
      <c r="B116" s="112" t="s">
        <v>57</v>
      </c>
      <c r="C116" s="37">
        <f t="shared" si="18"/>
        <v>79088842.132689878</v>
      </c>
      <c r="D116" s="37">
        <f t="shared" si="19"/>
        <v>310687713.64072633</v>
      </c>
      <c r="E116" s="37">
        <f t="shared" si="20"/>
        <v>137147321.67167547</v>
      </c>
      <c r="F116" s="37">
        <f t="shared" si="21"/>
        <v>114403294.1440441</v>
      </c>
      <c r="G116" s="37">
        <f t="shared" si="22"/>
        <v>10084332.988654926</v>
      </c>
      <c r="H116" s="37">
        <f t="shared" si="22"/>
        <v>488341.76167790458</v>
      </c>
      <c r="I116" s="37">
        <f t="shared" si="23"/>
        <v>4389056.6834898414</v>
      </c>
      <c r="J116" s="37">
        <f t="shared" si="24"/>
        <v>0</v>
      </c>
      <c r="K116" s="37">
        <f t="shared" si="25"/>
        <v>5891548.9818619313</v>
      </c>
      <c r="L116" s="37">
        <f t="shared" si="26"/>
        <v>0</v>
      </c>
      <c r="M116" s="116">
        <f t="shared" si="27"/>
        <v>662180452.00482047</v>
      </c>
      <c r="N116" s="250">
        <f t="shared" si="28"/>
        <v>3974.1239324992375</v>
      </c>
    </row>
    <row r="117" spans="1:14" x14ac:dyDescent="0.35">
      <c r="A117" s="35">
        <v>9</v>
      </c>
      <c r="B117" s="112" t="s">
        <v>59</v>
      </c>
      <c r="C117" s="37">
        <f t="shared" si="18"/>
        <v>61114989.873166479</v>
      </c>
      <c r="D117" s="37">
        <f t="shared" si="19"/>
        <v>232818233.95529258</v>
      </c>
      <c r="E117" s="37">
        <f t="shared" si="20"/>
        <v>94004580.848902106</v>
      </c>
      <c r="F117" s="37">
        <f t="shared" si="21"/>
        <v>82477000.917294919</v>
      </c>
      <c r="G117" s="37">
        <f t="shared" si="22"/>
        <v>7851679.813375744</v>
      </c>
      <c r="H117" s="37">
        <f t="shared" si="22"/>
        <v>0</v>
      </c>
      <c r="I117" s="37">
        <f t="shared" si="23"/>
        <v>5127689.8475219021</v>
      </c>
      <c r="J117" s="37">
        <f t="shared" si="24"/>
        <v>0</v>
      </c>
      <c r="K117" s="37">
        <f t="shared" si="25"/>
        <v>4552626.4723874545</v>
      </c>
      <c r="L117" s="37">
        <f t="shared" si="26"/>
        <v>0</v>
      </c>
      <c r="M117" s="116">
        <f t="shared" si="27"/>
        <v>487946801.72794122</v>
      </c>
      <c r="N117" s="250">
        <f t="shared" si="28"/>
        <v>3789.701464226453</v>
      </c>
    </row>
    <row r="118" spans="1:14" x14ac:dyDescent="0.35">
      <c r="A118" s="35">
        <v>10</v>
      </c>
      <c r="B118" s="112" t="s">
        <v>61</v>
      </c>
      <c r="C118" s="37">
        <f t="shared" si="18"/>
        <v>64778395.786996506</v>
      </c>
      <c r="D118" s="37">
        <f t="shared" si="19"/>
        <v>270613958.52907896</v>
      </c>
      <c r="E118" s="37">
        <f t="shared" si="20"/>
        <v>116232410.06310086</v>
      </c>
      <c r="F118" s="37">
        <f t="shared" si="21"/>
        <v>104947132.7934467</v>
      </c>
      <c r="G118" s="37">
        <f t="shared" si="22"/>
        <v>4511175.9557673186</v>
      </c>
      <c r="H118" s="37">
        <f t="shared" si="22"/>
        <v>0</v>
      </c>
      <c r="I118" s="37">
        <f t="shared" si="23"/>
        <v>12178908.373032775</v>
      </c>
      <c r="J118" s="37">
        <f t="shared" si="24"/>
        <v>3773397.5528714624</v>
      </c>
      <c r="K118" s="37">
        <f t="shared" si="25"/>
        <v>4825523.8217450492</v>
      </c>
      <c r="L118" s="37">
        <f t="shared" si="26"/>
        <v>0</v>
      </c>
      <c r="M118" s="116">
        <f t="shared" si="27"/>
        <v>581860902.87603962</v>
      </c>
      <c r="N118" s="250">
        <f t="shared" si="28"/>
        <v>4263.5293380133917</v>
      </c>
    </row>
    <row r="119" spans="1:14" x14ac:dyDescent="0.35">
      <c r="A119" s="35">
        <v>11</v>
      </c>
      <c r="B119" s="112" t="s">
        <v>63</v>
      </c>
      <c r="C119" s="37">
        <f t="shared" si="18"/>
        <v>118860861.42858672</v>
      </c>
      <c r="D119" s="37">
        <f t="shared" si="19"/>
        <v>474295895.24419081</v>
      </c>
      <c r="E119" s="37">
        <f t="shared" si="20"/>
        <v>176936507.94504973</v>
      </c>
      <c r="F119" s="37">
        <f t="shared" si="21"/>
        <v>186155791.41503718</v>
      </c>
      <c r="G119" s="37">
        <f t="shared" si="22"/>
        <v>7501674.782324831</v>
      </c>
      <c r="H119" s="37">
        <f t="shared" si="22"/>
        <v>0</v>
      </c>
      <c r="I119" s="37">
        <f t="shared" si="23"/>
        <v>16697193.129637593</v>
      </c>
      <c r="J119" s="37">
        <f t="shared" si="24"/>
        <v>0</v>
      </c>
      <c r="K119" s="37">
        <f t="shared" si="25"/>
        <v>8854277.901273977</v>
      </c>
      <c r="L119" s="37">
        <f t="shared" si="26"/>
        <v>0</v>
      </c>
      <c r="M119" s="116">
        <f t="shared" si="27"/>
        <v>989302201.84610081</v>
      </c>
      <c r="N119" s="250">
        <f t="shared" si="28"/>
        <v>3950.6665036543518</v>
      </c>
    </row>
    <row r="120" spans="1:14" x14ac:dyDescent="0.35">
      <c r="A120" s="35">
        <v>12</v>
      </c>
      <c r="B120" s="112" t="s">
        <v>65</v>
      </c>
      <c r="C120" s="37">
        <f t="shared" si="18"/>
        <v>78588553.219347462</v>
      </c>
      <c r="D120" s="37">
        <f t="shared" si="19"/>
        <v>318806820.66553926</v>
      </c>
      <c r="E120" s="37">
        <f t="shared" si="20"/>
        <v>123187694.63499123</v>
      </c>
      <c r="F120" s="37">
        <f t="shared" si="21"/>
        <v>131094619.02940518</v>
      </c>
      <c r="G120" s="37">
        <f t="shared" si="22"/>
        <v>6090685.8394842576</v>
      </c>
      <c r="H120" s="37">
        <f t="shared" si="22"/>
        <v>0</v>
      </c>
      <c r="I120" s="37">
        <f t="shared" si="23"/>
        <v>18089388.802001692</v>
      </c>
      <c r="J120" s="37">
        <f t="shared" si="24"/>
        <v>0</v>
      </c>
      <c r="K120" s="37">
        <f t="shared" si="25"/>
        <v>5854281.0619056085</v>
      </c>
      <c r="L120" s="37">
        <f t="shared" si="26"/>
        <v>0</v>
      </c>
      <c r="M120" s="116">
        <f t="shared" si="27"/>
        <v>681712043.2526747</v>
      </c>
      <c r="N120" s="250">
        <f t="shared" si="28"/>
        <v>4117.3893860123253</v>
      </c>
    </row>
    <row r="121" spans="1:14" x14ac:dyDescent="0.35">
      <c r="A121" s="35">
        <v>13</v>
      </c>
      <c r="B121" s="112" t="s">
        <v>67</v>
      </c>
      <c r="C121" s="37">
        <f t="shared" si="18"/>
        <v>129715801.80736086</v>
      </c>
      <c r="D121" s="37">
        <f t="shared" si="19"/>
        <v>477817993.15428954</v>
      </c>
      <c r="E121" s="37">
        <f t="shared" si="20"/>
        <v>168482480.2198891</v>
      </c>
      <c r="F121" s="37">
        <f t="shared" si="21"/>
        <v>176952331.03106475</v>
      </c>
      <c r="G121" s="37">
        <f t="shared" si="22"/>
        <v>9074204.5087273642</v>
      </c>
      <c r="H121" s="37">
        <f t="shared" si="22"/>
        <v>0</v>
      </c>
      <c r="I121" s="37">
        <f t="shared" si="23"/>
        <v>15443284.20267701</v>
      </c>
      <c r="J121" s="37">
        <f t="shared" si="24"/>
        <v>0</v>
      </c>
      <c r="K121" s="37">
        <f t="shared" si="25"/>
        <v>9662892.7603642605</v>
      </c>
      <c r="L121" s="37">
        <f t="shared" si="26"/>
        <v>0</v>
      </c>
      <c r="M121" s="116">
        <f t="shared" si="27"/>
        <v>987148987.6843729</v>
      </c>
      <c r="N121" s="250">
        <f t="shared" si="28"/>
        <v>3612.1858574604821</v>
      </c>
    </row>
    <row r="122" spans="1:14" x14ac:dyDescent="0.35">
      <c r="A122" s="35">
        <v>14</v>
      </c>
      <c r="B122" s="112" t="s">
        <v>69</v>
      </c>
      <c r="C122" s="37">
        <f t="shared" si="18"/>
        <v>92233529.871961057</v>
      </c>
      <c r="D122" s="37">
        <f t="shared" si="19"/>
        <v>362833096.20664865</v>
      </c>
      <c r="E122" s="37">
        <f t="shared" si="20"/>
        <v>141850685.95228463</v>
      </c>
      <c r="F122" s="37">
        <f t="shared" si="21"/>
        <v>128165714.48243229</v>
      </c>
      <c r="G122" s="37">
        <f t="shared" si="22"/>
        <v>4135244.6261200421</v>
      </c>
      <c r="H122" s="37">
        <f t="shared" si="22"/>
        <v>0</v>
      </c>
      <c r="I122" s="37">
        <f t="shared" si="23"/>
        <v>13283113.354447242</v>
      </c>
      <c r="J122" s="37">
        <f t="shared" si="24"/>
        <v>0</v>
      </c>
      <c r="K122" s="37">
        <f t="shared" si="25"/>
        <v>6870733.5239401711</v>
      </c>
      <c r="L122" s="37">
        <f t="shared" si="26"/>
        <v>0</v>
      </c>
      <c r="M122" s="116">
        <f t="shared" si="27"/>
        <v>749372118.01783407</v>
      </c>
      <c r="N122" s="250">
        <f t="shared" si="28"/>
        <v>3856.4612179019437</v>
      </c>
    </row>
    <row r="123" spans="1:14" x14ac:dyDescent="0.35">
      <c r="A123" s="35">
        <v>15</v>
      </c>
      <c r="B123" s="112" t="s">
        <v>71</v>
      </c>
      <c r="C123" s="37">
        <f t="shared" si="18"/>
        <v>83631313.575466946</v>
      </c>
      <c r="D123" s="37">
        <f t="shared" si="19"/>
        <v>280916588.50746644</v>
      </c>
      <c r="E123" s="37">
        <f t="shared" si="20"/>
        <v>99973737.839475378</v>
      </c>
      <c r="F123" s="37">
        <f t="shared" si="21"/>
        <v>89255865.772883043</v>
      </c>
      <c r="G123" s="37">
        <f t="shared" si="22"/>
        <v>12174391.521654109</v>
      </c>
      <c r="H123" s="37">
        <f t="shared" si="22"/>
        <v>34296322.481767245</v>
      </c>
      <c r="I123" s="37">
        <f t="shared" si="23"/>
        <v>7124602.4350278201</v>
      </c>
      <c r="J123" s="37">
        <f t="shared" si="24"/>
        <v>3406860.3422913617</v>
      </c>
      <c r="K123" s="37">
        <f t="shared" si="25"/>
        <v>6229930.380326842</v>
      </c>
      <c r="L123" s="37">
        <f t="shared" si="26"/>
        <v>0</v>
      </c>
      <c r="M123" s="116">
        <f t="shared" si="27"/>
        <v>617009612.85635924</v>
      </c>
      <c r="N123" s="250">
        <f t="shared" si="28"/>
        <v>3501.8962890487091</v>
      </c>
    </row>
    <row r="124" spans="1:14" x14ac:dyDescent="0.35">
      <c r="A124" s="35">
        <v>16</v>
      </c>
      <c r="B124" s="112" t="s">
        <v>73</v>
      </c>
      <c r="C124" s="37">
        <f t="shared" si="18"/>
        <v>32484129.376105923</v>
      </c>
      <c r="D124" s="37">
        <f t="shared" si="19"/>
        <v>122175570.78850755</v>
      </c>
      <c r="E124" s="37">
        <f t="shared" si="20"/>
        <v>42866537.42500554</v>
      </c>
      <c r="F124" s="37">
        <f t="shared" si="21"/>
        <v>44724409.603142865</v>
      </c>
      <c r="G124" s="37">
        <f t="shared" si="22"/>
        <v>1978376.0159686913</v>
      </c>
      <c r="H124" s="37">
        <f t="shared" si="22"/>
        <v>2373041.7421363061</v>
      </c>
      <c r="I124" s="37">
        <f t="shared" si="23"/>
        <v>4832142.2407949138</v>
      </c>
      <c r="J124" s="37">
        <f t="shared" si="24"/>
        <v>0</v>
      </c>
      <c r="K124" s="37">
        <f t="shared" si="25"/>
        <v>2419833.6224391893</v>
      </c>
      <c r="L124" s="37">
        <f t="shared" si="26"/>
        <v>0</v>
      </c>
      <c r="M124" s="116">
        <f t="shared" si="27"/>
        <v>253854040.81410098</v>
      </c>
      <c r="N124" s="250">
        <f t="shared" si="28"/>
        <v>3709.3098881321653</v>
      </c>
    </row>
    <row r="125" spans="1:14" x14ac:dyDescent="0.35">
      <c r="A125" s="35">
        <v>17</v>
      </c>
      <c r="B125" s="112" t="s">
        <v>75</v>
      </c>
      <c r="C125" s="37">
        <f t="shared" si="18"/>
        <v>195635274.01530159</v>
      </c>
      <c r="D125" s="37">
        <f t="shared" si="19"/>
        <v>684762191.78514147</v>
      </c>
      <c r="E125" s="37">
        <f t="shared" si="20"/>
        <v>217806872.15041575</v>
      </c>
      <c r="F125" s="37">
        <f t="shared" si="21"/>
        <v>282811308.96668637</v>
      </c>
      <c r="G125" s="37">
        <f t="shared" si="22"/>
        <v>11632930.747122355</v>
      </c>
      <c r="H125" s="37">
        <f t="shared" si="22"/>
        <v>0</v>
      </c>
      <c r="I125" s="37">
        <f t="shared" si="23"/>
        <v>35443792.938161917</v>
      </c>
      <c r="J125" s="37">
        <f t="shared" si="24"/>
        <v>603818.53940537886</v>
      </c>
      <c r="K125" s="37">
        <f t="shared" si="25"/>
        <v>14573418.55514062</v>
      </c>
      <c r="L125" s="37">
        <f t="shared" si="26"/>
        <v>0</v>
      </c>
      <c r="M125" s="116">
        <f t="shared" si="27"/>
        <v>1443269607.6973755</v>
      </c>
      <c r="N125" s="250">
        <f t="shared" si="28"/>
        <v>3501.7131841619548</v>
      </c>
    </row>
    <row r="126" spans="1:14" x14ac:dyDescent="0.35">
      <c r="A126" s="35">
        <v>18</v>
      </c>
      <c r="B126" s="112" t="s">
        <v>77</v>
      </c>
      <c r="C126" s="37">
        <f t="shared" si="18"/>
        <v>34678945.253995277</v>
      </c>
      <c r="D126" s="37">
        <f t="shared" si="19"/>
        <v>139114892.76861814</v>
      </c>
      <c r="E126" s="37">
        <f t="shared" si="20"/>
        <v>59464692.197813325</v>
      </c>
      <c r="F126" s="37">
        <f t="shared" si="21"/>
        <v>57725896.323454544</v>
      </c>
      <c r="G126" s="37">
        <f t="shared" si="22"/>
        <v>1996324.9919200202</v>
      </c>
      <c r="H126" s="37">
        <f t="shared" si="22"/>
        <v>0</v>
      </c>
      <c r="I126" s="37">
        <f t="shared" si="23"/>
        <v>19442894.990914572</v>
      </c>
      <c r="J126" s="37">
        <f t="shared" si="24"/>
        <v>0</v>
      </c>
      <c r="K126" s="37">
        <f t="shared" si="25"/>
        <v>2583331.5938604791</v>
      </c>
      <c r="L126" s="37">
        <f t="shared" si="26"/>
        <v>0</v>
      </c>
      <c r="M126" s="116">
        <f t="shared" si="27"/>
        <v>315006978.12057638</v>
      </c>
      <c r="N126" s="250">
        <f t="shared" si="28"/>
        <v>4311.5612723693403</v>
      </c>
    </row>
    <row r="127" spans="1:14" x14ac:dyDescent="0.35">
      <c r="A127" s="35">
        <v>19</v>
      </c>
      <c r="B127" s="112" t="s">
        <v>79</v>
      </c>
      <c r="C127" s="37">
        <f t="shared" si="18"/>
        <v>84736790.690433279</v>
      </c>
      <c r="D127" s="37">
        <f t="shared" si="19"/>
        <v>324752685.4955256</v>
      </c>
      <c r="E127" s="37">
        <f t="shared" si="20"/>
        <v>124276231.06720351</v>
      </c>
      <c r="F127" s="37">
        <f t="shared" si="21"/>
        <v>142812315.40226123</v>
      </c>
      <c r="G127" s="37">
        <f t="shared" si="22"/>
        <v>5023718.9357108204</v>
      </c>
      <c r="H127" s="37">
        <f t="shared" si="22"/>
        <v>0</v>
      </c>
      <c r="I127" s="37">
        <f t="shared" si="23"/>
        <v>89214656.526150972</v>
      </c>
      <c r="J127" s="37">
        <f t="shared" si="24"/>
        <v>0</v>
      </c>
      <c r="K127" s="37">
        <f t="shared" si="25"/>
        <v>6312280.4615206532</v>
      </c>
      <c r="L127" s="37">
        <f t="shared" si="26"/>
        <v>2500000</v>
      </c>
      <c r="M127" s="116">
        <f t="shared" si="27"/>
        <v>779628678.57880604</v>
      </c>
      <c r="N127" s="250">
        <f t="shared" si="28"/>
        <v>4367.1294214651753</v>
      </c>
    </row>
    <row r="128" spans="1:14" x14ac:dyDescent="0.35">
      <c r="A128" s="29"/>
      <c r="B128" s="28" t="s">
        <v>35</v>
      </c>
      <c r="C128" s="31">
        <f t="shared" ref="C128:K128" si="29">SUM(C106:C127)</f>
        <v>2604981588.2181897</v>
      </c>
      <c r="D128" s="31">
        <f t="shared" si="29"/>
        <v>9350405304.9012375</v>
      </c>
      <c r="E128" s="31">
        <f t="shared" si="29"/>
        <v>3126530242.6799202</v>
      </c>
      <c r="F128" s="31">
        <f t="shared" si="29"/>
        <v>3328629337.4654479</v>
      </c>
      <c r="G128" s="31">
        <f t="shared" si="29"/>
        <v>388104724.00360006</v>
      </c>
      <c r="H128" s="31">
        <f t="shared" si="29"/>
        <v>97026181.000899985</v>
      </c>
      <c r="I128" s="31">
        <f t="shared" si="29"/>
        <v>291078543.00269997</v>
      </c>
      <c r="J128" s="31">
        <f t="shared" si="29"/>
        <v>21927916.9062034</v>
      </c>
      <c r="K128" s="31">
        <f t="shared" si="29"/>
        <v>194052362.0018</v>
      </c>
      <c r="L128" s="31">
        <f>L127</f>
        <v>2500000</v>
      </c>
      <c r="M128" s="115">
        <f>SUM(M106:M127)</f>
        <v>19405236200.18</v>
      </c>
      <c r="N128" s="249">
        <f t="shared" si="28"/>
        <v>3535.8557833323921</v>
      </c>
    </row>
    <row r="129" spans="1:14" x14ac:dyDescent="0.35">
      <c r="A129" s="35"/>
      <c r="B129" s="112" t="s">
        <v>401</v>
      </c>
      <c r="C129" s="252">
        <f t="shared" ref="C129:L129" si="30">C128/$M$128</f>
        <v>0.13424116879309236</v>
      </c>
      <c r="D129" s="252">
        <f t="shared" si="30"/>
        <v>0.48184960020298567</v>
      </c>
      <c r="E129" s="252">
        <f t="shared" si="30"/>
        <v>0.16111786583926863</v>
      </c>
      <c r="F129" s="252">
        <f t="shared" si="30"/>
        <v>0.17153253395774548</v>
      </c>
      <c r="G129" s="252">
        <f t="shared" si="30"/>
        <v>2.0000000000000004E-2</v>
      </c>
      <c r="H129" s="252">
        <f t="shared" si="30"/>
        <v>4.9999999999999992E-3</v>
      </c>
      <c r="I129" s="252">
        <f t="shared" si="30"/>
        <v>1.4999999999999998E-2</v>
      </c>
      <c r="J129" s="252">
        <f t="shared" ref="J129" si="31">J128/$M$128</f>
        <v>1.1299999999999999E-3</v>
      </c>
      <c r="K129" s="252">
        <f t="shared" si="30"/>
        <v>0.01</v>
      </c>
      <c r="L129" s="252">
        <f t="shared" si="30"/>
        <v>1.2883120690779381E-4</v>
      </c>
      <c r="M129" s="253">
        <f>SUM('Kalkylerad finansiering av soci'!$C129:$L129)</f>
        <v>0.99999999999999989</v>
      </c>
      <c r="N129" s="254"/>
    </row>
    <row r="130" spans="1:14" x14ac:dyDescent="0.35">
      <c r="B130" s="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1:14" x14ac:dyDescent="0.35">
      <c r="A131" s="17" t="s">
        <v>405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s="464" customFormat="1" ht="31" x14ac:dyDescent="0.3">
      <c r="A132" s="456" t="s">
        <v>22</v>
      </c>
      <c r="B132" s="456" t="s">
        <v>34</v>
      </c>
      <c r="C132" s="456" t="s">
        <v>372</v>
      </c>
      <c r="D132" s="473" t="s">
        <v>374</v>
      </c>
      <c r="E132" s="473" t="s">
        <v>375</v>
      </c>
      <c r="F132" s="473" t="s">
        <v>376</v>
      </c>
      <c r="G132" s="474" t="s">
        <v>377</v>
      </c>
      <c r="H132" s="473" t="s">
        <v>378</v>
      </c>
      <c r="I132" s="473" t="s">
        <v>379</v>
      </c>
      <c r="J132" s="473" t="s">
        <v>380</v>
      </c>
      <c r="K132" s="473" t="s">
        <v>381</v>
      </c>
      <c r="L132" s="475" t="s">
        <v>382</v>
      </c>
      <c r="M132" s="476" t="s">
        <v>400</v>
      </c>
      <c r="N132" s="478" t="s">
        <v>403</v>
      </c>
    </row>
    <row r="133" spans="1:14" x14ac:dyDescent="0.35">
      <c r="A133" s="247">
        <v>31</v>
      </c>
      <c r="B133" s="28" t="s">
        <v>37</v>
      </c>
      <c r="C133" s="86">
        <f t="shared" ref="C133:M133" si="32">C106/$C23</f>
        <v>474.65741303835534</v>
      </c>
      <c r="D133" s="86">
        <f t="shared" si="32"/>
        <v>1520.4479126910535</v>
      </c>
      <c r="E133" s="86">
        <f t="shared" si="32"/>
        <v>411.79945648131786</v>
      </c>
      <c r="F133" s="86">
        <f t="shared" si="32"/>
        <v>492.5735413724131</v>
      </c>
      <c r="G133" s="86">
        <f t="shared" si="32"/>
        <v>156.68175795910864</v>
      </c>
      <c r="H133" s="86">
        <f t="shared" si="32"/>
        <v>21.626072027547281</v>
      </c>
      <c r="I133" s="86">
        <f t="shared" si="32"/>
        <v>0.31826772674953974</v>
      </c>
      <c r="J133" s="86">
        <f t="shared" si="32"/>
        <v>0</v>
      </c>
      <c r="K133" s="86">
        <f t="shared" si="32"/>
        <v>35.358557833323921</v>
      </c>
      <c r="L133" s="86">
        <f t="shared" si="32"/>
        <v>0</v>
      </c>
      <c r="M133" s="31">
        <f t="shared" si="32"/>
        <v>3113.4629791298694</v>
      </c>
      <c r="N133" s="255">
        <f>SUM('Kalkylerad finansiering av soci'!$C133:$L133)</f>
        <v>3113.4629791298698</v>
      </c>
    </row>
    <row r="134" spans="1:14" x14ac:dyDescent="0.35">
      <c r="A134" s="248">
        <v>32</v>
      </c>
      <c r="B134" s="112" t="s">
        <v>39</v>
      </c>
      <c r="C134" s="37">
        <f t="shared" ref="C134:M134" si="33">C107/$C24</f>
        <v>474.65741303835534</v>
      </c>
      <c r="D134" s="37">
        <f t="shared" si="33"/>
        <v>1522.3831941590877</v>
      </c>
      <c r="E134" s="37">
        <f t="shared" si="33"/>
        <v>282.6092863501442</v>
      </c>
      <c r="F134" s="37">
        <f t="shared" si="33"/>
        <v>496.87042392350236</v>
      </c>
      <c r="G134" s="37">
        <f t="shared" si="33"/>
        <v>177.32286140051474</v>
      </c>
      <c r="H134" s="37">
        <f t="shared" si="33"/>
        <v>8.7394906932254326</v>
      </c>
      <c r="I134" s="37">
        <f t="shared" si="33"/>
        <v>0.97933867231558758</v>
      </c>
      <c r="J134" s="37">
        <f t="shared" si="33"/>
        <v>0</v>
      </c>
      <c r="K134" s="37">
        <f t="shared" si="33"/>
        <v>35.358557833323921</v>
      </c>
      <c r="L134" s="37">
        <f t="shared" si="33"/>
        <v>0</v>
      </c>
      <c r="M134" s="113">
        <f t="shared" si="33"/>
        <v>2998.9205660704692</v>
      </c>
      <c r="N134" s="251">
        <f>SUM('Kalkylerad finansiering av soci'!$C134:$L134)</f>
        <v>2998.9205660704692</v>
      </c>
    </row>
    <row r="135" spans="1:14" x14ac:dyDescent="0.35">
      <c r="A135" s="248">
        <v>33</v>
      </c>
      <c r="B135" s="112" t="s">
        <v>41</v>
      </c>
      <c r="C135" s="37">
        <f t="shared" ref="C135:M135" si="34">C108/$C25</f>
        <v>474.65741303835534</v>
      </c>
      <c r="D135" s="37">
        <f t="shared" si="34"/>
        <v>1473.0927322133477</v>
      </c>
      <c r="E135" s="37">
        <f t="shared" si="34"/>
        <v>324.28716631002015</v>
      </c>
      <c r="F135" s="37">
        <f t="shared" si="34"/>
        <v>444.89424683761388</v>
      </c>
      <c r="G135" s="37">
        <f t="shared" si="34"/>
        <v>124.91895674810345</v>
      </c>
      <c r="H135" s="37">
        <f t="shared" si="34"/>
        <v>47.800044261954454</v>
      </c>
      <c r="I135" s="37">
        <f t="shared" si="34"/>
        <v>8.8007012686758905</v>
      </c>
      <c r="J135" s="37">
        <f t="shared" si="34"/>
        <v>0</v>
      </c>
      <c r="K135" s="37">
        <f t="shared" si="34"/>
        <v>35.358557833323921</v>
      </c>
      <c r="L135" s="37">
        <f t="shared" si="34"/>
        <v>0</v>
      </c>
      <c r="M135" s="113">
        <f t="shared" si="34"/>
        <v>2933.809818511395</v>
      </c>
      <c r="N135" s="251">
        <f>SUM('Kalkylerad finansiering av soci'!$C135:$L135)</f>
        <v>2933.809818511395</v>
      </c>
    </row>
    <row r="136" spans="1:14" x14ac:dyDescent="0.35">
      <c r="A136" s="248">
        <v>34</v>
      </c>
      <c r="B136" s="112" t="s">
        <v>43</v>
      </c>
      <c r="C136" s="37">
        <f t="shared" ref="C136:M136" si="35">C109/$C26</f>
        <v>474.65741303835529</v>
      </c>
      <c r="D136" s="37">
        <f t="shared" si="35"/>
        <v>1657.4798819409991</v>
      </c>
      <c r="E136" s="37">
        <f t="shared" si="35"/>
        <v>500.73820262553039</v>
      </c>
      <c r="F136" s="37">
        <f t="shared" si="35"/>
        <v>508.68387811559052</v>
      </c>
      <c r="G136" s="37">
        <f t="shared" si="35"/>
        <v>55.782533583731329</v>
      </c>
      <c r="H136" s="37">
        <f t="shared" si="35"/>
        <v>112.46598129407904</v>
      </c>
      <c r="I136" s="37">
        <f t="shared" si="35"/>
        <v>26.738105257295128</v>
      </c>
      <c r="J136" s="37">
        <f t="shared" si="35"/>
        <v>0</v>
      </c>
      <c r="K136" s="37">
        <f t="shared" si="35"/>
        <v>35.358557833323921</v>
      </c>
      <c r="L136" s="37">
        <f t="shared" si="35"/>
        <v>0</v>
      </c>
      <c r="M136" s="113">
        <f t="shared" si="35"/>
        <v>3371.9045536889057</v>
      </c>
      <c r="N136" s="251">
        <f>SUM('Kalkylerad finansiering av soci'!$C136:$L136)</f>
        <v>3371.9045536889053</v>
      </c>
    </row>
    <row r="137" spans="1:14" x14ac:dyDescent="0.35">
      <c r="A137" s="248">
        <v>35</v>
      </c>
      <c r="B137" s="112" t="s">
        <v>45</v>
      </c>
      <c r="C137" s="37">
        <f t="shared" ref="C137:M137" si="36">C110/$C27</f>
        <v>474.65741303835534</v>
      </c>
      <c r="D137" s="37">
        <f t="shared" si="36"/>
        <v>1589.6446624357584</v>
      </c>
      <c r="E137" s="37">
        <f t="shared" si="36"/>
        <v>394.77033672474403</v>
      </c>
      <c r="F137" s="37">
        <f t="shared" si="36"/>
        <v>506.94896264299729</v>
      </c>
      <c r="G137" s="37">
        <f t="shared" si="36"/>
        <v>50.375332469142151</v>
      </c>
      <c r="H137" s="37">
        <f t="shared" si="36"/>
        <v>0</v>
      </c>
      <c r="I137" s="37">
        <f t="shared" si="36"/>
        <v>8.1555533716504875</v>
      </c>
      <c r="J137" s="37">
        <f t="shared" si="36"/>
        <v>0</v>
      </c>
      <c r="K137" s="37">
        <f t="shared" si="36"/>
        <v>35.358557833323921</v>
      </c>
      <c r="L137" s="37">
        <f t="shared" si="36"/>
        <v>0</v>
      </c>
      <c r="M137" s="113">
        <f t="shared" si="36"/>
        <v>3059.9108185159721</v>
      </c>
      <c r="N137" s="251">
        <f>SUM('Kalkylerad finansiering av soci'!$C137:$L137)</f>
        <v>3059.9108185159716</v>
      </c>
    </row>
    <row r="138" spans="1:14" x14ac:dyDescent="0.35">
      <c r="A138" s="35">
        <v>2</v>
      </c>
      <c r="B138" s="112" t="s">
        <v>47</v>
      </c>
      <c r="C138" s="37">
        <f t="shared" ref="C138:M138" si="37">C111/$C28</f>
        <v>474.65741303835534</v>
      </c>
      <c r="D138" s="37">
        <f t="shared" si="37"/>
        <v>1744.5684000239751</v>
      </c>
      <c r="E138" s="37">
        <f t="shared" si="37"/>
        <v>629.31532444546747</v>
      </c>
      <c r="F138" s="37">
        <f t="shared" si="37"/>
        <v>609.7333612348715</v>
      </c>
      <c r="G138" s="37">
        <f t="shared" si="37"/>
        <v>71.218951331731787</v>
      </c>
      <c r="H138" s="37">
        <f t="shared" si="37"/>
        <v>21.752888800289377</v>
      </c>
      <c r="I138" s="37">
        <f t="shared" si="37"/>
        <v>21.451629388888012</v>
      </c>
      <c r="J138" s="37">
        <f t="shared" si="37"/>
        <v>29.553640696129808</v>
      </c>
      <c r="K138" s="37">
        <f t="shared" si="37"/>
        <v>35.358557833323921</v>
      </c>
      <c r="L138" s="37">
        <f t="shared" si="37"/>
        <v>0</v>
      </c>
      <c r="M138" s="113">
        <f t="shared" si="37"/>
        <v>3637.610166793032</v>
      </c>
      <c r="N138" s="251">
        <f>SUM('Kalkylerad finansiering av soci'!$C138:$L138)</f>
        <v>3637.610166793032</v>
      </c>
    </row>
    <row r="139" spans="1:14" x14ac:dyDescent="0.35">
      <c r="A139" s="35">
        <v>4</v>
      </c>
      <c r="B139" s="112" t="s">
        <v>49</v>
      </c>
      <c r="C139" s="37">
        <f t="shared" ref="C139:M139" si="38">C112/$C29</f>
        <v>474.65741303835534</v>
      </c>
      <c r="D139" s="37">
        <f t="shared" si="38"/>
        <v>1789.9606935394293</v>
      </c>
      <c r="E139" s="37">
        <f t="shared" si="38"/>
        <v>715.36496285792441</v>
      </c>
      <c r="F139" s="37">
        <f t="shared" si="38"/>
        <v>674.97591445079991</v>
      </c>
      <c r="G139" s="37">
        <f t="shared" si="38"/>
        <v>34.810294402094165</v>
      </c>
      <c r="H139" s="37">
        <f t="shared" si="38"/>
        <v>0</v>
      </c>
      <c r="I139" s="37">
        <f t="shared" si="38"/>
        <v>34.435076983427315</v>
      </c>
      <c r="J139" s="37">
        <f t="shared" si="38"/>
        <v>0</v>
      </c>
      <c r="K139" s="37">
        <f t="shared" si="38"/>
        <v>35.358557833323921</v>
      </c>
      <c r="L139" s="37">
        <f t="shared" si="38"/>
        <v>0</v>
      </c>
      <c r="M139" s="113">
        <f t="shared" si="38"/>
        <v>3759.5629131053538</v>
      </c>
      <c r="N139" s="251">
        <f>SUM('Kalkylerad finansiering av soci'!$C139:$L139)</f>
        <v>3759.5629131053543</v>
      </c>
    </row>
    <row r="140" spans="1:14" x14ac:dyDescent="0.35">
      <c r="A140" s="35">
        <v>5</v>
      </c>
      <c r="B140" s="112" t="s">
        <v>51</v>
      </c>
      <c r="C140" s="37">
        <f t="shared" ref="C140:M140" si="39">C113/$C30</f>
        <v>474.65741303835534</v>
      </c>
      <c r="D140" s="37">
        <f t="shared" si="39"/>
        <v>1810.4432886312438</v>
      </c>
      <c r="E140" s="37">
        <f t="shared" si="39"/>
        <v>631.68999600717075</v>
      </c>
      <c r="F140" s="37">
        <f t="shared" si="39"/>
        <v>615.67658125498781</v>
      </c>
      <c r="G140" s="37">
        <f t="shared" si="39"/>
        <v>40.738746059477457</v>
      </c>
      <c r="H140" s="37">
        <f t="shared" si="39"/>
        <v>0</v>
      </c>
      <c r="I140" s="37">
        <f t="shared" si="39"/>
        <v>29.204802097834673</v>
      </c>
      <c r="J140" s="37">
        <f t="shared" si="39"/>
        <v>0</v>
      </c>
      <c r="K140" s="37">
        <f t="shared" si="39"/>
        <v>35.358557833323921</v>
      </c>
      <c r="L140" s="37">
        <f t="shared" si="39"/>
        <v>0</v>
      </c>
      <c r="M140" s="113">
        <f t="shared" si="39"/>
        <v>3637.7693849223933</v>
      </c>
      <c r="N140" s="251">
        <f>SUM('Kalkylerad finansiering av soci'!$C140:$L140)</f>
        <v>3637.7693849223938</v>
      </c>
    </row>
    <row r="141" spans="1:14" x14ac:dyDescent="0.35">
      <c r="A141" s="35">
        <v>6</v>
      </c>
      <c r="B141" s="112" t="s">
        <v>53</v>
      </c>
      <c r="C141" s="37">
        <f t="shared" ref="C141:M141" si="40">C114/$C31</f>
        <v>474.65741303835534</v>
      </c>
      <c r="D141" s="37">
        <f t="shared" si="40"/>
        <v>1715.0117767404874</v>
      </c>
      <c r="E141" s="37">
        <f t="shared" si="40"/>
        <v>585.39815086337546</v>
      </c>
      <c r="F141" s="37">
        <f t="shared" si="40"/>
        <v>584.51744840452466</v>
      </c>
      <c r="G141" s="37">
        <f t="shared" si="40"/>
        <v>48.182006115485827</v>
      </c>
      <c r="H141" s="37">
        <f t="shared" si="40"/>
        <v>0</v>
      </c>
      <c r="I141" s="37">
        <f t="shared" si="40"/>
        <v>24.652555571183182</v>
      </c>
      <c r="J141" s="37">
        <f t="shared" si="40"/>
        <v>0</v>
      </c>
      <c r="K141" s="37">
        <f t="shared" si="40"/>
        <v>35.358557833323921</v>
      </c>
      <c r="L141" s="37">
        <f t="shared" si="40"/>
        <v>0</v>
      </c>
      <c r="M141" s="113">
        <f t="shared" si="40"/>
        <v>3467.7779085667362</v>
      </c>
      <c r="N141" s="251">
        <f>SUM('Kalkylerad finansiering av soci'!$C141:$L141)</f>
        <v>3467.7779085667362</v>
      </c>
    </row>
    <row r="142" spans="1:14" x14ac:dyDescent="0.35">
      <c r="A142" s="35">
        <v>7</v>
      </c>
      <c r="B142" s="112" t="s">
        <v>55</v>
      </c>
      <c r="C142" s="37">
        <f t="shared" ref="C142:M142" si="41">C115/$C32</f>
        <v>474.65741303835534</v>
      </c>
      <c r="D142" s="37">
        <f t="shared" si="41"/>
        <v>1836.5816019518215</v>
      </c>
      <c r="E142" s="37">
        <f t="shared" si="41"/>
        <v>660.58278336185583</v>
      </c>
      <c r="F142" s="37">
        <f t="shared" si="41"/>
        <v>642.91007046108962</v>
      </c>
      <c r="G142" s="37">
        <f t="shared" si="41"/>
        <v>51.47041314786118</v>
      </c>
      <c r="H142" s="37">
        <f t="shared" si="41"/>
        <v>0</v>
      </c>
      <c r="I142" s="37">
        <f t="shared" si="41"/>
        <v>26.520779813629261</v>
      </c>
      <c r="J142" s="37">
        <f t="shared" si="41"/>
        <v>0</v>
      </c>
      <c r="K142" s="37">
        <f t="shared" si="41"/>
        <v>35.358557833323921</v>
      </c>
      <c r="L142" s="37">
        <f t="shared" si="41"/>
        <v>0</v>
      </c>
      <c r="M142" s="113">
        <f t="shared" si="41"/>
        <v>3728.0816196079363</v>
      </c>
      <c r="N142" s="251">
        <f>SUM('Kalkylerad finansiering av soci'!$C142:$L142)</f>
        <v>3728.0816196079368</v>
      </c>
    </row>
    <row r="143" spans="1:14" x14ac:dyDescent="0.35">
      <c r="A143" s="35">
        <v>8</v>
      </c>
      <c r="B143" s="112" t="s">
        <v>57</v>
      </c>
      <c r="C143" s="37">
        <f t="shared" ref="C143:M143" si="42">C116/$C33</f>
        <v>474.65741303835534</v>
      </c>
      <c r="D143" s="37">
        <f t="shared" si="42"/>
        <v>1864.6148109248202</v>
      </c>
      <c r="E143" s="37">
        <f t="shared" si="42"/>
        <v>823.09958212056847</v>
      </c>
      <c r="F143" s="37">
        <f t="shared" si="42"/>
        <v>686.59965397360565</v>
      </c>
      <c r="G143" s="37">
        <f t="shared" si="42"/>
        <v>60.521854657849914</v>
      </c>
      <c r="H143" s="37">
        <f t="shared" si="42"/>
        <v>2.9308184444998866</v>
      </c>
      <c r="I143" s="37">
        <f t="shared" si="42"/>
        <v>26.341241506213677</v>
      </c>
      <c r="J143" s="37">
        <f t="shared" si="42"/>
        <v>0</v>
      </c>
      <c r="K143" s="37">
        <f t="shared" si="42"/>
        <v>35.358557833323921</v>
      </c>
      <c r="L143" s="37">
        <f t="shared" si="42"/>
        <v>0</v>
      </c>
      <c r="M143" s="113">
        <f t="shared" si="42"/>
        <v>3974.1239324992375</v>
      </c>
      <c r="N143" s="251">
        <f>SUM('Kalkylerad finansiering av soci'!$C143:$L143)</f>
        <v>3974.1239324992371</v>
      </c>
    </row>
    <row r="144" spans="1:14" x14ac:dyDescent="0.35">
      <c r="A144" s="35">
        <v>9</v>
      </c>
      <c r="B144" s="112" t="s">
        <v>59</v>
      </c>
      <c r="C144" s="37">
        <f t="shared" ref="C144:M144" si="43">C117/$C34</f>
        <v>474.65741303835534</v>
      </c>
      <c r="D144" s="37">
        <f t="shared" si="43"/>
        <v>1808.2126965368027</v>
      </c>
      <c r="E144" s="37">
        <f t="shared" si="43"/>
        <v>730.09864277316865</v>
      </c>
      <c r="F144" s="37">
        <f t="shared" si="43"/>
        <v>640.5682136544699</v>
      </c>
      <c r="G144" s="37">
        <f t="shared" si="43"/>
        <v>60.981079043894994</v>
      </c>
      <c r="H144" s="37">
        <f t="shared" si="43"/>
        <v>0</v>
      </c>
      <c r="I144" s="37">
        <f t="shared" si="43"/>
        <v>39.824861346437466</v>
      </c>
      <c r="J144" s="37">
        <f t="shared" si="43"/>
        <v>0</v>
      </c>
      <c r="K144" s="37">
        <f t="shared" si="43"/>
        <v>35.358557833323921</v>
      </c>
      <c r="L144" s="37">
        <f t="shared" si="43"/>
        <v>0</v>
      </c>
      <c r="M144" s="113">
        <f t="shared" si="43"/>
        <v>3789.701464226453</v>
      </c>
      <c r="N144" s="251">
        <f>SUM('Kalkylerad finansiering av soci'!$C144:$L144)</f>
        <v>3789.701464226453</v>
      </c>
    </row>
    <row r="145" spans="1:14" x14ac:dyDescent="0.35">
      <c r="A145" s="35">
        <v>10</v>
      </c>
      <c r="B145" s="112" t="s">
        <v>61</v>
      </c>
      <c r="C145" s="37">
        <f t="shared" ref="C145:M145" si="44">C118/$C35</f>
        <v>474.65741303835534</v>
      </c>
      <c r="D145" s="37">
        <f t="shared" si="44"/>
        <v>1982.8975374729175</v>
      </c>
      <c r="E145" s="37">
        <f t="shared" si="44"/>
        <v>851.68171272990355</v>
      </c>
      <c r="F145" s="37">
        <f t="shared" si="44"/>
        <v>768.98993796215177</v>
      </c>
      <c r="G145" s="37">
        <f t="shared" si="44"/>
        <v>33.055204330255719</v>
      </c>
      <c r="H145" s="37">
        <f t="shared" si="44"/>
        <v>0</v>
      </c>
      <c r="I145" s="37">
        <f t="shared" si="44"/>
        <v>89.239770015041515</v>
      </c>
      <c r="J145" s="37">
        <f t="shared" si="44"/>
        <v>27.649204631442345</v>
      </c>
      <c r="K145" s="37">
        <f t="shared" si="44"/>
        <v>35.358557833323921</v>
      </c>
      <c r="L145" s="37">
        <f t="shared" si="44"/>
        <v>0</v>
      </c>
      <c r="M145" s="113">
        <f t="shared" si="44"/>
        <v>4263.5293380133917</v>
      </c>
      <c r="N145" s="251">
        <f>SUM('Kalkylerad finansiering av soci'!$C145:$L145)</f>
        <v>4263.5293380133926</v>
      </c>
    </row>
    <row r="146" spans="1:14" x14ac:dyDescent="0.35">
      <c r="A146" s="35">
        <v>11</v>
      </c>
      <c r="B146" s="112" t="s">
        <v>63</v>
      </c>
      <c r="C146" s="37">
        <f t="shared" ref="C146:M146" si="45">C119/$C36</f>
        <v>474.65741303835534</v>
      </c>
      <c r="D146" s="37">
        <f t="shared" si="45"/>
        <v>1894.0470390800467</v>
      </c>
      <c r="E146" s="37">
        <f t="shared" si="45"/>
        <v>706.57594202021346</v>
      </c>
      <c r="F146" s="37">
        <f t="shared" si="45"/>
        <v>743.39210832875631</v>
      </c>
      <c r="G146" s="37">
        <f t="shared" si="45"/>
        <v>29.957090187948083</v>
      </c>
      <c r="H146" s="37">
        <f t="shared" si="45"/>
        <v>0</v>
      </c>
      <c r="I146" s="37">
        <f t="shared" si="45"/>
        <v>66.678353165707961</v>
      </c>
      <c r="J146" s="37">
        <f t="shared" si="45"/>
        <v>0</v>
      </c>
      <c r="K146" s="37">
        <f t="shared" si="45"/>
        <v>35.358557833323921</v>
      </c>
      <c r="L146" s="37">
        <f t="shared" si="45"/>
        <v>0</v>
      </c>
      <c r="M146" s="113">
        <f t="shared" si="45"/>
        <v>3950.6665036543518</v>
      </c>
      <c r="N146" s="251">
        <f>SUM('Kalkylerad finansiering av soci'!$C146:$L146)</f>
        <v>3950.6665036543518</v>
      </c>
    </row>
    <row r="147" spans="1:14" x14ac:dyDescent="0.35">
      <c r="A147" s="35">
        <v>12</v>
      </c>
      <c r="B147" s="112" t="s">
        <v>65</v>
      </c>
      <c r="C147" s="37">
        <f t="shared" ref="C147:M147" si="46">C120/$C37</f>
        <v>474.6574130383554</v>
      </c>
      <c r="D147" s="37">
        <f t="shared" si="46"/>
        <v>1925.522414615896</v>
      </c>
      <c r="E147" s="37">
        <f t="shared" si="46"/>
        <v>744.02632518763312</v>
      </c>
      <c r="F147" s="37">
        <f t="shared" si="46"/>
        <v>791.78239301683993</v>
      </c>
      <c r="G147" s="37">
        <f t="shared" si="46"/>
        <v>36.786390202781064</v>
      </c>
      <c r="H147" s="37">
        <f t="shared" si="46"/>
        <v>0</v>
      </c>
      <c r="I147" s="37">
        <f t="shared" si="46"/>
        <v>109.25589211749599</v>
      </c>
      <c r="J147" s="37">
        <f t="shared" si="46"/>
        <v>0</v>
      </c>
      <c r="K147" s="37">
        <f t="shared" si="46"/>
        <v>35.358557833323921</v>
      </c>
      <c r="L147" s="37">
        <f t="shared" si="46"/>
        <v>0</v>
      </c>
      <c r="M147" s="113">
        <f t="shared" si="46"/>
        <v>4117.3893860123253</v>
      </c>
      <c r="N147" s="251">
        <f>SUM('Kalkylerad finansiering av soci'!$C147:$L147)</f>
        <v>4117.3893860123253</v>
      </c>
    </row>
    <row r="148" spans="1:14" x14ac:dyDescent="0.35">
      <c r="A148" s="35">
        <v>13</v>
      </c>
      <c r="B148" s="112" t="s">
        <v>67</v>
      </c>
      <c r="C148" s="37">
        <f t="shared" ref="C148:M148" si="47">C121/$C38</f>
        <v>474.65741303835534</v>
      </c>
      <c r="D148" s="37">
        <f t="shared" si="47"/>
        <v>1748.43657730005</v>
      </c>
      <c r="E148" s="37">
        <f t="shared" si="47"/>
        <v>616.51284646278441</v>
      </c>
      <c r="F148" s="37">
        <f t="shared" si="47"/>
        <v>647.50581276941762</v>
      </c>
      <c r="G148" s="37">
        <f t="shared" si="47"/>
        <v>33.20442365140665</v>
      </c>
      <c r="H148" s="37">
        <f t="shared" si="47"/>
        <v>0</v>
      </c>
      <c r="I148" s="37">
        <f t="shared" si="47"/>
        <v>56.510226405144152</v>
      </c>
      <c r="J148" s="37">
        <f t="shared" si="47"/>
        <v>0</v>
      </c>
      <c r="K148" s="37">
        <f t="shared" si="47"/>
        <v>35.358557833323921</v>
      </c>
      <c r="L148" s="37">
        <f t="shared" si="47"/>
        <v>0</v>
      </c>
      <c r="M148" s="113">
        <f t="shared" si="47"/>
        <v>3612.1858574604821</v>
      </c>
      <c r="N148" s="251">
        <f>SUM('Kalkylerad finansiering av soci'!$C148:$L148)</f>
        <v>3612.1858574604817</v>
      </c>
    </row>
    <row r="149" spans="1:14" x14ac:dyDescent="0.35">
      <c r="A149" s="35">
        <v>14</v>
      </c>
      <c r="B149" s="112" t="s">
        <v>69</v>
      </c>
      <c r="C149" s="37">
        <f t="shared" ref="C149:M149" si="48">C122/$C39</f>
        <v>474.65741303835534</v>
      </c>
      <c r="D149" s="37">
        <f t="shared" si="48"/>
        <v>1867.2322207468692</v>
      </c>
      <c r="E149" s="37">
        <f t="shared" si="48"/>
        <v>730.00003063198415</v>
      </c>
      <c r="F149" s="37">
        <f t="shared" si="48"/>
        <v>659.57365570736476</v>
      </c>
      <c r="G149" s="37">
        <f t="shared" si="48"/>
        <v>21.281030003293822</v>
      </c>
      <c r="H149" s="37">
        <f t="shared" si="48"/>
        <v>0</v>
      </c>
      <c r="I149" s="37">
        <f t="shared" si="48"/>
        <v>68.358309940752392</v>
      </c>
      <c r="J149" s="37">
        <f t="shared" si="48"/>
        <v>0</v>
      </c>
      <c r="K149" s="37">
        <f t="shared" si="48"/>
        <v>35.358557833323921</v>
      </c>
      <c r="L149" s="37">
        <f t="shared" si="48"/>
        <v>0</v>
      </c>
      <c r="M149" s="113">
        <f t="shared" si="48"/>
        <v>3856.4612179019437</v>
      </c>
      <c r="N149" s="251">
        <f>SUM('Kalkylerad finansiering av soci'!$C149:$L149)</f>
        <v>3856.4612179019441</v>
      </c>
    </row>
    <row r="150" spans="1:14" x14ac:dyDescent="0.35">
      <c r="A150" s="35">
        <v>15</v>
      </c>
      <c r="B150" s="112" t="s">
        <v>71</v>
      </c>
      <c r="C150" s="37">
        <f t="shared" ref="C150:M150" si="49">C123/$C40</f>
        <v>474.65741303835534</v>
      </c>
      <c r="D150" s="37">
        <f t="shared" si="49"/>
        <v>1594.3686100325576</v>
      </c>
      <c r="E150" s="37">
        <f t="shared" si="49"/>
        <v>567.41038429151774</v>
      </c>
      <c r="F150" s="37">
        <f t="shared" si="49"/>
        <v>506.58008986102197</v>
      </c>
      <c r="G150" s="37">
        <f t="shared" si="49"/>
        <v>69.09690805908356</v>
      </c>
      <c r="H150" s="37">
        <f t="shared" si="49"/>
        <v>194.6520150163017</v>
      </c>
      <c r="I150" s="37">
        <f t="shared" si="49"/>
        <v>40.436353515904834</v>
      </c>
      <c r="J150" s="37">
        <f t="shared" si="49"/>
        <v>19.335957400642261</v>
      </c>
      <c r="K150" s="37">
        <f t="shared" si="49"/>
        <v>35.358557833323921</v>
      </c>
      <c r="L150" s="37">
        <f t="shared" si="49"/>
        <v>0</v>
      </c>
      <c r="M150" s="113">
        <f t="shared" si="49"/>
        <v>3501.8962890487091</v>
      </c>
      <c r="N150" s="251">
        <f>SUM('Kalkylerad finansiering av soci'!$C150:$L150)</f>
        <v>3501.8962890487091</v>
      </c>
    </row>
    <row r="151" spans="1:14" x14ac:dyDescent="0.35">
      <c r="A151" s="35">
        <v>16</v>
      </c>
      <c r="B151" s="112" t="s">
        <v>73</v>
      </c>
      <c r="C151" s="37">
        <f t="shared" ref="C151:M151" si="50">C124/$C41</f>
        <v>474.65741303835534</v>
      </c>
      <c r="D151" s="37">
        <f t="shared" si="50"/>
        <v>1785.226862494083</v>
      </c>
      <c r="E151" s="37">
        <f t="shared" si="50"/>
        <v>626.364940383207</v>
      </c>
      <c r="F151" s="37">
        <f t="shared" si="50"/>
        <v>653.51212944960866</v>
      </c>
      <c r="G151" s="37">
        <f t="shared" si="50"/>
        <v>28.907988602198976</v>
      </c>
      <c r="H151" s="37">
        <f t="shared" si="50"/>
        <v>34.674835865632716</v>
      </c>
      <c r="I151" s="37">
        <f t="shared" si="50"/>
        <v>70.60716046575557</v>
      </c>
      <c r="J151" s="37">
        <f t="shared" si="50"/>
        <v>0</v>
      </c>
      <c r="K151" s="37">
        <f t="shared" si="50"/>
        <v>35.358557833323921</v>
      </c>
      <c r="L151" s="37">
        <f t="shared" si="50"/>
        <v>0</v>
      </c>
      <c r="M151" s="113">
        <f t="shared" si="50"/>
        <v>3709.3098881321653</v>
      </c>
      <c r="N151" s="251">
        <f>SUM('Kalkylerad finansiering av soci'!$C151:$L151)</f>
        <v>3709.3098881321653</v>
      </c>
    </row>
    <row r="152" spans="1:14" x14ac:dyDescent="0.35">
      <c r="A152" s="35">
        <v>17</v>
      </c>
      <c r="B152" s="112" t="s">
        <v>75</v>
      </c>
      <c r="C152" s="37">
        <f t="shared" ref="C152:M152" si="51">C125/$C42</f>
        <v>474.65741303835534</v>
      </c>
      <c r="D152" s="37">
        <f t="shared" si="51"/>
        <v>1661.3949203955285</v>
      </c>
      <c r="E152" s="37">
        <f t="shared" si="51"/>
        <v>528.45095035778672</v>
      </c>
      <c r="F152" s="37">
        <f t="shared" si="51"/>
        <v>686.1670778329011</v>
      </c>
      <c r="G152" s="37">
        <f t="shared" si="51"/>
        <v>28.224239428578528</v>
      </c>
      <c r="H152" s="37">
        <f t="shared" si="51"/>
        <v>0</v>
      </c>
      <c r="I152" s="37">
        <f t="shared" si="51"/>
        <v>85.9950187867409</v>
      </c>
      <c r="J152" s="37">
        <f t="shared" si="51"/>
        <v>1.4650064887395431</v>
      </c>
      <c r="K152" s="37">
        <f t="shared" si="51"/>
        <v>35.358557833323921</v>
      </c>
      <c r="L152" s="37">
        <f t="shared" si="51"/>
        <v>0</v>
      </c>
      <c r="M152" s="113">
        <f t="shared" si="51"/>
        <v>3501.7131841619548</v>
      </c>
      <c r="N152" s="251">
        <f>SUM('Kalkylerad finansiering av soci'!$C152:$L152)</f>
        <v>3501.7131841619548</v>
      </c>
    </row>
    <row r="153" spans="1:14" x14ac:dyDescent="0.35">
      <c r="A153" s="35">
        <v>18</v>
      </c>
      <c r="B153" s="112" t="s">
        <v>77</v>
      </c>
      <c r="C153" s="37">
        <f t="shared" ref="C153:M153" si="52">C126/$C43</f>
        <v>474.65741303835529</v>
      </c>
      <c r="D153" s="37">
        <f t="shared" si="52"/>
        <v>1904.0923716978707</v>
      </c>
      <c r="E153" s="37">
        <f t="shared" si="52"/>
        <v>813.90471247058383</v>
      </c>
      <c r="F153" s="37">
        <f t="shared" si="52"/>
        <v>790.10547793562284</v>
      </c>
      <c r="G153" s="37">
        <f t="shared" si="52"/>
        <v>27.324085242742644</v>
      </c>
      <c r="H153" s="37">
        <f t="shared" si="52"/>
        <v>0</v>
      </c>
      <c r="I153" s="37">
        <f t="shared" si="52"/>
        <v>266.11865415084071</v>
      </c>
      <c r="J153" s="37">
        <f t="shared" si="52"/>
        <v>0</v>
      </c>
      <c r="K153" s="37">
        <f t="shared" si="52"/>
        <v>35.358557833323921</v>
      </c>
      <c r="L153" s="37">
        <f t="shared" si="52"/>
        <v>0</v>
      </c>
      <c r="M153" s="113">
        <f t="shared" si="52"/>
        <v>4311.5612723693403</v>
      </c>
      <c r="N153" s="251">
        <f>SUM('Kalkylerad finansiering av soci'!$C153:$L153)</f>
        <v>4311.5612723693403</v>
      </c>
    </row>
    <row r="154" spans="1:14" x14ac:dyDescent="0.35">
      <c r="A154" s="35">
        <v>19</v>
      </c>
      <c r="B154" s="112" t="s">
        <v>79</v>
      </c>
      <c r="C154" s="37">
        <f t="shared" ref="C154:M154" si="53">C127/$C44</f>
        <v>474.6574130383554</v>
      </c>
      <c r="D154" s="37">
        <f t="shared" si="53"/>
        <v>1819.1185707953396</v>
      </c>
      <c r="E154" s="37">
        <f t="shared" si="53"/>
        <v>696.13958541358215</v>
      </c>
      <c r="F154" s="37">
        <f t="shared" si="53"/>
        <v>799.9703980588456</v>
      </c>
      <c r="G154" s="37">
        <f t="shared" si="53"/>
        <v>28.140615362312882</v>
      </c>
      <c r="H154" s="37">
        <f t="shared" si="53"/>
        <v>0</v>
      </c>
      <c r="I154" s="37">
        <f t="shared" si="53"/>
        <v>499.74040469046378</v>
      </c>
      <c r="J154" s="37">
        <f t="shared" si="53"/>
        <v>0</v>
      </c>
      <c r="K154" s="37">
        <f t="shared" si="53"/>
        <v>35.358557833323921</v>
      </c>
      <c r="L154" s="37">
        <f t="shared" si="53"/>
        <v>14.003876272952354</v>
      </c>
      <c r="M154" s="113">
        <f t="shared" si="53"/>
        <v>4367.1294214651753</v>
      </c>
      <c r="N154" s="251">
        <f>SUM('Kalkylerad finansiering av soci'!$C154:$L154)</f>
        <v>4367.1294214651762</v>
      </c>
    </row>
    <row r="155" spans="1:14" x14ac:dyDescent="0.35">
      <c r="A155" s="29"/>
      <c r="B155" s="28" t="s">
        <v>35</v>
      </c>
      <c r="C155" s="31">
        <f t="shared" ref="C155:M155" si="54">C128/$C45</f>
        <v>474.65741303835546</v>
      </c>
      <c r="D155" s="31">
        <f t="shared" si="54"/>
        <v>1703.7506955741278</v>
      </c>
      <c r="E155" s="31">
        <f t="shared" si="54"/>
        <v>569.68953772595046</v>
      </c>
      <c r="F155" s="31">
        <f t="shared" si="54"/>
        <v>606.51430222415433</v>
      </c>
      <c r="G155" s="31">
        <f t="shared" si="54"/>
        <v>70.717115666647842</v>
      </c>
      <c r="H155" s="31">
        <f t="shared" si="54"/>
        <v>17.679278916661957</v>
      </c>
      <c r="I155" s="31">
        <f t="shared" si="54"/>
        <v>53.037836749985871</v>
      </c>
      <c r="J155" s="31">
        <f t="shared" si="54"/>
        <v>3.9955170351656029</v>
      </c>
      <c r="K155" s="31">
        <f t="shared" si="54"/>
        <v>35.358557833323921</v>
      </c>
      <c r="L155" s="31">
        <f t="shared" si="54"/>
        <v>0.45552856801861474</v>
      </c>
      <c r="M155" s="31">
        <f t="shared" si="54"/>
        <v>3535.8557833323921</v>
      </c>
      <c r="N155" s="255">
        <f>SUM('Kalkylerad finansiering av soci'!$C155:$L155)</f>
        <v>3535.8557833323921</v>
      </c>
    </row>
    <row r="156" spans="1:14" x14ac:dyDescent="0.35">
      <c r="A156" s="35"/>
      <c r="B156" s="112" t="s">
        <v>401</v>
      </c>
      <c r="C156" s="245">
        <f>C155/$M$155</f>
        <v>0.13424116879309236</v>
      </c>
      <c r="D156" s="245">
        <f t="shared" ref="D156:M156" si="55">D155/$M$155</f>
        <v>0.48184960020298567</v>
      </c>
      <c r="E156" s="245">
        <f t="shared" si="55"/>
        <v>0.16111786583926863</v>
      </c>
      <c r="F156" s="245">
        <f t="shared" si="55"/>
        <v>0.17153253395774548</v>
      </c>
      <c r="G156" s="245">
        <f t="shared" si="55"/>
        <v>0.02</v>
      </c>
      <c r="H156" s="245">
        <f t="shared" si="55"/>
        <v>4.9999999999999992E-3</v>
      </c>
      <c r="I156" s="245">
        <f t="shared" si="55"/>
        <v>1.4999999999999998E-2</v>
      </c>
      <c r="J156" s="245">
        <f t="shared" si="55"/>
        <v>1.1299999999999999E-3</v>
      </c>
      <c r="K156" s="245">
        <f t="shared" si="55"/>
        <v>0.01</v>
      </c>
      <c r="L156" s="245">
        <f t="shared" si="55"/>
        <v>1.2883120690779381E-4</v>
      </c>
      <c r="M156" s="245">
        <f t="shared" si="55"/>
        <v>1</v>
      </c>
      <c r="N156" s="254"/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129"/>
  <sheetViews>
    <sheetView zoomScale="70" zoomScaleNormal="70" workbookViewId="0"/>
  </sheetViews>
  <sheetFormatPr defaultColWidth="8.4140625" defaultRowHeight="15.5" x14ac:dyDescent="0.35"/>
  <cols>
    <col min="1" max="1" width="38.1640625" style="118" customWidth="1"/>
    <col min="2" max="2" width="21.58203125" style="118" customWidth="1"/>
    <col min="3" max="3" width="24.08203125" style="118" customWidth="1"/>
    <col min="4" max="4" width="26.9140625" style="118" customWidth="1"/>
    <col min="5" max="5" width="28.9140625" style="118" customWidth="1"/>
    <col min="6" max="6" width="18" style="118" customWidth="1"/>
    <col min="7" max="7" width="18.9140625" style="118" customWidth="1"/>
    <col min="8" max="8" width="14" style="118" customWidth="1"/>
    <col min="9" max="9" width="12.1640625" style="118" customWidth="1"/>
    <col min="10" max="10" width="9.4140625" style="118" customWidth="1"/>
    <col min="11" max="11" width="13.1640625" style="118" bestFit="1" customWidth="1"/>
    <col min="12" max="12" width="9.83203125" style="118" bestFit="1" customWidth="1"/>
    <col min="13" max="13" width="10.08203125" style="118" customWidth="1"/>
    <col min="14" max="14" width="13" style="118" bestFit="1" customWidth="1"/>
    <col min="15" max="15" width="10.6640625" style="118" customWidth="1"/>
    <col min="16" max="16" width="7.33203125" style="118" customWidth="1"/>
    <col min="17" max="17" width="12.08203125" style="118" bestFit="1" customWidth="1"/>
    <col min="18" max="18" width="12.08203125" style="118" customWidth="1"/>
    <col min="19" max="21" width="11" style="118" customWidth="1"/>
    <col min="22" max="22" width="12.83203125" style="118" bestFit="1" customWidth="1"/>
    <col min="23" max="24" width="17.1640625" style="118" customWidth="1"/>
    <col min="25" max="25" width="16.9140625" style="118" customWidth="1"/>
    <col min="26" max="26" width="10.58203125" style="118" bestFit="1" customWidth="1"/>
    <col min="27" max="27" width="9.58203125" style="118" bestFit="1" customWidth="1"/>
    <col min="28" max="16384" width="8.4140625" style="118"/>
  </cols>
  <sheetData>
    <row r="1" spans="1:7" ht="18" x14ac:dyDescent="0.4">
      <c r="A1" s="258" t="s">
        <v>406</v>
      </c>
    </row>
    <row r="2" spans="1:7" x14ac:dyDescent="0.35">
      <c r="A2" s="118" t="str">
        <f>Info!A2</f>
        <v>Finansministeriet/Kommun- och regionförvaltningsavdelningen 8.12.2020</v>
      </c>
    </row>
    <row r="3" spans="1:7" x14ac:dyDescent="0.35">
      <c r="A3" s="479" t="s">
        <v>802</v>
      </c>
    </row>
    <row r="4" spans="1:7" x14ac:dyDescent="0.35">
      <c r="A4" s="118" t="s">
        <v>812</v>
      </c>
    </row>
    <row r="6" spans="1:7" x14ac:dyDescent="0.35">
      <c r="A6" s="17" t="s">
        <v>407</v>
      </c>
      <c r="B6" s="23"/>
      <c r="C6" s="23"/>
      <c r="D6" s="23"/>
    </row>
    <row r="7" spans="1:7" ht="46.5" x14ac:dyDescent="0.35">
      <c r="A7" s="238" t="s">
        <v>408</v>
      </c>
      <c r="B7" s="237" t="s">
        <v>368</v>
      </c>
      <c r="C7" s="238" t="s">
        <v>369</v>
      </c>
      <c r="D7" s="3"/>
    </row>
    <row r="8" spans="1:7" x14ac:dyDescent="0.35">
      <c r="A8" s="113">
        <f>'Räddningskostnader som överförs'!H12</f>
        <v>458058076</v>
      </c>
      <c r="B8" s="113">
        <f>C40</f>
        <v>5488130</v>
      </c>
      <c r="C8" s="113">
        <f>A8/B8</f>
        <v>83.463415771856717</v>
      </c>
      <c r="D8" s="3"/>
    </row>
    <row r="9" spans="1:7" x14ac:dyDescent="0.35">
      <c r="A9" s="3"/>
      <c r="B9" s="3"/>
      <c r="C9" s="3"/>
      <c r="D9" s="3"/>
    </row>
    <row r="10" spans="1:7" x14ac:dyDescent="0.35">
      <c r="A10" s="119" t="s">
        <v>370</v>
      </c>
      <c r="B10" s="120"/>
      <c r="C10" s="120"/>
      <c r="D10" s="120"/>
      <c r="E10" s="121"/>
      <c r="F10" s="122"/>
      <c r="G10" s="122"/>
    </row>
    <row r="11" spans="1:7" x14ac:dyDescent="0.35">
      <c r="A11" s="259" t="s">
        <v>409</v>
      </c>
      <c r="B11" s="259" t="s">
        <v>372</v>
      </c>
      <c r="C11" s="259" t="s">
        <v>379</v>
      </c>
      <c r="D11" s="259" t="s">
        <v>813</v>
      </c>
      <c r="E11" s="260" t="s">
        <v>383</v>
      </c>
      <c r="F11" s="122"/>
      <c r="G11" s="122"/>
    </row>
    <row r="12" spans="1:7" x14ac:dyDescent="0.35">
      <c r="A12" s="123" t="s">
        <v>410</v>
      </c>
      <c r="B12" s="124">
        <v>0.65</v>
      </c>
      <c r="C12" s="125">
        <v>0.05</v>
      </c>
      <c r="D12" s="125">
        <v>0.3</v>
      </c>
      <c r="E12" s="126">
        <f>SUM(B12:D12)</f>
        <v>1</v>
      </c>
      <c r="F12" s="122"/>
      <c r="G12" s="122"/>
    </row>
    <row r="13" spans="1:7" x14ac:dyDescent="0.35">
      <c r="A13" s="127" t="s">
        <v>411</v>
      </c>
      <c r="B13" s="45">
        <f>B12*$A$8</f>
        <v>297737749.40000004</v>
      </c>
      <c r="C13" s="45">
        <f t="shared" ref="C13:D13" si="0">C12*$A$8</f>
        <v>22902903.800000001</v>
      </c>
      <c r="D13" s="45">
        <f t="shared" si="0"/>
        <v>137417422.79999998</v>
      </c>
      <c r="E13" s="128">
        <f>SUM(B13:D13)</f>
        <v>458058076</v>
      </c>
      <c r="F13" s="122"/>
      <c r="G13" s="122"/>
    </row>
    <row r="14" spans="1:7" x14ac:dyDescent="0.35">
      <c r="A14" s="10" t="s">
        <v>386</v>
      </c>
      <c r="B14" s="104">
        <f>B13/$B$8</f>
        <v>54.251220251706869</v>
      </c>
      <c r="C14" s="104">
        <f t="shared" ref="C14:D14" si="1">C13/$B$8</f>
        <v>4.1731707885928362</v>
      </c>
      <c r="D14" s="104">
        <f t="shared" si="1"/>
        <v>25.03902473155701</v>
      </c>
      <c r="E14" s="122"/>
      <c r="F14" s="122"/>
      <c r="G14" s="122"/>
    </row>
    <row r="15" spans="1:7" x14ac:dyDescent="0.35">
      <c r="A15" s="122"/>
      <c r="B15" s="122"/>
      <c r="C15" s="122"/>
      <c r="D15" s="122"/>
      <c r="E15" s="122"/>
      <c r="F15" s="122"/>
      <c r="G15" s="122"/>
    </row>
    <row r="16" spans="1:7" x14ac:dyDescent="0.35">
      <c r="A16" s="129" t="s">
        <v>387</v>
      </c>
      <c r="B16" s="129"/>
      <c r="C16" s="129"/>
      <c r="D16" s="121"/>
      <c r="E16" s="121"/>
      <c r="F16" s="122"/>
      <c r="G16" s="122"/>
    </row>
    <row r="17" spans="1:7" x14ac:dyDescent="0.35">
      <c r="A17" s="261" t="s">
        <v>22</v>
      </c>
      <c r="B17" s="261" t="s">
        <v>34</v>
      </c>
      <c r="C17" s="261" t="s">
        <v>388</v>
      </c>
      <c r="D17" s="261" t="s">
        <v>394</v>
      </c>
      <c r="E17" s="261" t="s">
        <v>485</v>
      </c>
      <c r="F17" s="122"/>
      <c r="G17" s="122"/>
    </row>
    <row r="18" spans="1:7" x14ac:dyDescent="0.35">
      <c r="A18" s="122">
        <v>31</v>
      </c>
      <c r="B18" s="130" t="s">
        <v>37</v>
      </c>
      <c r="C18" s="122">
        <v>648042</v>
      </c>
      <c r="D18" s="131">
        <f>Bestämningsfaktorer!F30</f>
        <v>1.6006937077485701E-2</v>
      </c>
      <c r="E18" s="132">
        <f>Bestämningsfaktorer!K30</f>
        <v>0.46400841783985058</v>
      </c>
      <c r="F18" s="122"/>
      <c r="G18" s="122"/>
    </row>
    <row r="19" spans="1:7" x14ac:dyDescent="0.35">
      <c r="A19" s="122">
        <v>32</v>
      </c>
      <c r="B19" s="130" t="s">
        <v>39</v>
      </c>
      <c r="C19" s="122">
        <v>264420</v>
      </c>
      <c r="D19" s="131">
        <f>Bestämningsfaktorer!F31</f>
        <v>1.4848184628298539E-2</v>
      </c>
      <c r="E19" s="132">
        <f>Bestämningsfaktorer!K31</f>
        <v>0.9383407340073654</v>
      </c>
      <c r="F19" s="122"/>
      <c r="G19" s="122"/>
    </row>
    <row r="20" spans="1:7" x14ac:dyDescent="0.35">
      <c r="A20" s="122">
        <v>33</v>
      </c>
      <c r="B20" s="130" t="s">
        <v>41</v>
      </c>
      <c r="C20" s="122">
        <v>464302</v>
      </c>
      <c r="D20" s="131">
        <f>Bestämningsfaktorer!F32</f>
        <v>0.24510039100952302</v>
      </c>
      <c r="E20" s="132">
        <f>Bestämningsfaktorer!K32</f>
        <v>0.91305528558907945</v>
      </c>
      <c r="F20" s="122"/>
      <c r="G20" s="122"/>
    </row>
    <row r="21" spans="1:7" x14ac:dyDescent="0.35">
      <c r="A21" s="122">
        <v>34</v>
      </c>
      <c r="B21" s="130" t="s">
        <v>43</v>
      </c>
      <c r="C21" s="122">
        <v>97263</v>
      </c>
      <c r="D21" s="131">
        <f>Bestämningsfaktorer!F33</f>
        <v>0.824755521540398</v>
      </c>
      <c r="E21" s="132">
        <f>Bestämningsfaktorer!K33</f>
        <v>0.97984697456818259</v>
      </c>
      <c r="F21" s="122"/>
      <c r="G21" s="122"/>
    </row>
    <row r="22" spans="1:7" x14ac:dyDescent="0.35">
      <c r="A22" s="122">
        <v>35</v>
      </c>
      <c r="B22" s="130" t="s">
        <v>45</v>
      </c>
      <c r="C22" s="122">
        <v>196997</v>
      </c>
      <c r="D22" s="131">
        <f>Bestämningsfaktorer!F34</f>
        <v>0.12605195165402605</v>
      </c>
      <c r="E22" s="132">
        <f>Bestämningsfaktorer!K34</f>
        <v>1.1343764954139699</v>
      </c>
      <c r="F22" s="122"/>
      <c r="G22" s="122"/>
    </row>
    <row r="23" spans="1:7" x14ac:dyDescent="0.35">
      <c r="A23" s="122">
        <v>2</v>
      </c>
      <c r="B23" s="130" t="s">
        <v>47</v>
      </c>
      <c r="C23" s="122">
        <v>478582</v>
      </c>
      <c r="D23" s="131">
        <f>Bestämningsfaktorer!F35</f>
        <v>0.62175788805276477</v>
      </c>
      <c r="E23" s="132">
        <f>Bestämningsfaktorer!K35</f>
        <v>1.1398813465838213</v>
      </c>
      <c r="F23" s="122"/>
      <c r="G23" s="122"/>
    </row>
    <row r="24" spans="1:7" x14ac:dyDescent="0.35">
      <c r="A24" s="122">
        <v>4</v>
      </c>
      <c r="B24" s="130" t="s">
        <v>49</v>
      </c>
      <c r="C24" s="122">
        <v>218624</v>
      </c>
      <c r="D24" s="131">
        <f>Bestämningsfaktorer!F36</f>
        <v>0.77108853476567296</v>
      </c>
      <c r="E24" s="132">
        <f>Bestämningsfaktorer!K36</f>
        <v>1.3829227157511672</v>
      </c>
      <c r="F24" s="122"/>
      <c r="G24" s="122"/>
    </row>
    <row r="25" spans="1:7" x14ac:dyDescent="0.35">
      <c r="A25" s="122">
        <v>5</v>
      </c>
      <c r="B25" s="130" t="s">
        <v>51</v>
      </c>
      <c r="C25" s="122">
        <v>171364</v>
      </c>
      <c r="D25" s="131">
        <f>Bestämningsfaktorer!F37</f>
        <v>0.48240360594797571</v>
      </c>
      <c r="E25" s="132">
        <f>Bestämningsfaktorer!K37</f>
        <v>1.1889949705406999</v>
      </c>
      <c r="F25" s="122"/>
      <c r="G25" s="122"/>
    </row>
    <row r="26" spans="1:7" x14ac:dyDescent="0.35">
      <c r="A26" s="122">
        <v>6</v>
      </c>
      <c r="B26" s="130" t="s">
        <v>53</v>
      </c>
      <c r="C26" s="122">
        <v>517333</v>
      </c>
      <c r="D26" s="131">
        <f>Bestämningsfaktorer!F38</f>
        <v>0.40525345886516551</v>
      </c>
      <c r="E26" s="132">
        <f>Bestämningsfaktorer!K38</f>
        <v>0.98779797156561067</v>
      </c>
      <c r="F26" s="122"/>
      <c r="G26" s="122"/>
    </row>
    <row r="27" spans="1:7" x14ac:dyDescent="0.35">
      <c r="A27" s="122">
        <v>7</v>
      </c>
      <c r="B27" s="130" t="s">
        <v>55</v>
      </c>
      <c r="C27" s="122">
        <v>207394</v>
      </c>
      <c r="D27" s="131">
        <f>Bestämningsfaktorer!F39</f>
        <v>0.43701759357331343</v>
      </c>
      <c r="E27" s="132">
        <f>Bestämningsfaktorer!K39</f>
        <v>1.2280426032800884</v>
      </c>
      <c r="F27" s="122"/>
      <c r="G27" s="122"/>
    </row>
    <row r="28" spans="1:7" x14ac:dyDescent="0.35">
      <c r="A28" s="122">
        <v>8</v>
      </c>
      <c r="B28" s="130" t="s">
        <v>57</v>
      </c>
      <c r="C28" s="122">
        <v>166623</v>
      </c>
      <c r="D28" s="131">
        <f>Bestämningsfaktorer!F40</f>
        <v>0.64489899267967232</v>
      </c>
      <c r="E28" s="132">
        <f>Bestämningsfaktorer!K40</f>
        <v>1.4397789825724758</v>
      </c>
      <c r="F28" s="122"/>
      <c r="G28" s="122"/>
    </row>
    <row r="29" spans="1:7" x14ac:dyDescent="0.35">
      <c r="A29" s="122">
        <v>9</v>
      </c>
      <c r="B29" s="130" t="s">
        <v>59</v>
      </c>
      <c r="C29" s="122">
        <v>128756</v>
      </c>
      <c r="D29" s="131">
        <f>Bestämningsfaktorer!F41</f>
        <v>0.81419691237388303</v>
      </c>
      <c r="E29" s="132">
        <f>Bestämningsfaktorer!K41</f>
        <v>1.2889373866514073</v>
      </c>
      <c r="F29" s="122"/>
      <c r="G29" s="122"/>
    </row>
    <row r="30" spans="1:7" x14ac:dyDescent="0.35">
      <c r="A30" s="122">
        <v>10</v>
      </c>
      <c r="B30" s="130" t="s">
        <v>61</v>
      </c>
      <c r="C30" s="122">
        <v>136474</v>
      </c>
      <c r="D30" s="131">
        <f>Bestämningsfaktorer!F42</f>
        <v>1.9923537113635659</v>
      </c>
      <c r="E30" s="132">
        <f>Bestämningsfaktorer!K42</f>
        <v>1.2642044120794564</v>
      </c>
      <c r="F30" s="122"/>
      <c r="G30" s="122"/>
    </row>
    <row r="31" spans="1:7" x14ac:dyDescent="0.35">
      <c r="A31" s="122">
        <v>11</v>
      </c>
      <c r="B31" s="130" t="s">
        <v>63</v>
      </c>
      <c r="C31" s="122">
        <v>250414</v>
      </c>
      <c r="D31" s="131">
        <f>Bestämningsfaktorer!F43</f>
        <v>1.1783875622517981</v>
      </c>
      <c r="E31" s="132">
        <f>Bestämningsfaktorer!K43</f>
        <v>0.95145295677782749</v>
      </c>
      <c r="F31" s="122"/>
      <c r="G31" s="122"/>
    </row>
    <row r="32" spans="1:7" x14ac:dyDescent="0.35">
      <c r="A32" s="122">
        <v>12</v>
      </c>
      <c r="B32" s="130" t="s">
        <v>65</v>
      </c>
      <c r="C32" s="122">
        <v>165569</v>
      </c>
      <c r="D32" s="131">
        <f>Bestämningsfaktorer!F44</f>
        <v>1.888649098542786</v>
      </c>
      <c r="E32" s="132">
        <f>Bestämningsfaktorer!K44</f>
        <v>1.1115190754090873</v>
      </c>
      <c r="F32" s="122"/>
      <c r="G32" s="122"/>
    </row>
    <row r="33" spans="1:7" x14ac:dyDescent="0.35">
      <c r="A33" s="122">
        <v>13</v>
      </c>
      <c r="B33" s="130" t="s">
        <v>67</v>
      </c>
      <c r="C33" s="122">
        <v>273283</v>
      </c>
      <c r="D33" s="131">
        <f>Bestämningsfaktorer!F45</f>
        <v>1.0577235859360379</v>
      </c>
      <c r="E33" s="132">
        <f>Bestämningsfaktorer!K45</f>
        <v>1.0882881032649336</v>
      </c>
      <c r="F33" s="122"/>
      <c r="G33" s="122"/>
    </row>
    <row r="34" spans="1:7" x14ac:dyDescent="0.35">
      <c r="A34" s="122">
        <v>14</v>
      </c>
      <c r="B34" s="130" t="s">
        <v>69</v>
      </c>
      <c r="C34" s="122">
        <v>194316</v>
      </c>
      <c r="D34" s="131">
        <f>Bestämningsfaktorer!F46</f>
        <v>1.0438758799773171</v>
      </c>
      <c r="E34" s="132">
        <f>Bestämningsfaktorer!K46</f>
        <v>1.2345884714237305</v>
      </c>
      <c r="F34" s="122"/>
      <c r="G34" s="122"/>
    </row>
    <row r="35" spans="1:7" x14ac:dyDescent="0.35">
      <c r="A35" s="122">
        <v>15</v>
      </c>
      <c r="B35" s="130" t="s">
        <v>71</v>
      </c>
      <c r="C35" s="122">
        <v>176193</v>
      </c>
      <c r="D35" s="131">
        <f>Bestämningsfaktorer!F47</f>
        <v>1.4316387153819754</v>
      </c>
      <c r="E35" s="132">
        <f>Bestämningsfaktorer!K47</f>
        <v>0.80202466463779465</v>
      </c>
      <c r="F35" s="122"/>
      <c r="G35" s="122"/>
    </row>
    <row r="36" spans="1:7" x14ac:dyDescent="0.35">
      <c r="A36" s="122">
        <v>16</v>
      </c>
      <c r="B36" s="130" t="s">
        <v>73</v>
      </c>
      <c r="C36" s="122">
        <v>68437</v>
      </c>
      <c r="D36" s="131">
        <f>Bestämningsfaktorer!F48</f>
        <v>1.9297974226703829</v>
      </c>
      <c r="E36" s="132">
        <f>Bestämningsfaktorer!K48</f>
        <v>1.7286993002612043</v>
      </c>
      <c r="F36" s="122"/>
      <c r="G36" s="122"/>
    </row>
    <row r="37" spans="1:7" x14ac:dyDescent="0.35">
      <c r="A37" s="122">
        <v>17</v>
      </c>
      <c r="B37" s="130" t="s">
        <v>75</v>
      </c>
      <c r="C37" s="122">
        <v>412161</v>
      </c>
      <c r="D37" s="131">
        <f>Bestämningsfaktorer!F49</f>
        <v>1.526902453586525</v>
      </c>
      <c r="E37" s="132">
        <f>Bestämningsfaktorer!K49</f>
        <v>0.73753520712293019</v>
      </c>
      <c r="F37" s="122"/>
      <c r="G37" s="122"/>
    </row>
    <row r="38" spans="1:7" x14ac:dyDescent="0.35">
      <c r="A38" s="122">
        <v>18</v>
      </c>
      <c r="B38" s="130" t="s">
        <v>77</v>
      </c>
      <c r="C38" s="122">
        <v>73061</v>
      </c>
      <c r="D38" s="131">
        <f>Bestämningsfaktorer!F50</f>
        <v>4.8489187252782733</v>
      </c>
      <c r="E38" s="132">
        <f>Bestämningsfaktorer!K50</f>
        <v>1.2369581336635525</v>
      </c>
      <c r="F38" s="122"/>
      <c r="G38" s="122"/>
    </row>
    <row r="39" spans="1:7" x14ac:dyDescent="0.35">
      <c r="A39" s="122">
        <v>19</v>
      </c>
      <c r="B39" s="130" t="s">
        <v>79</v>
      </c>
      <c r="C39" s="122">
        <v>178522</v>
      </c>
      <c r="D39" s="131">
        <f>Bestämningsfaktorer!F51</f>
        <v>8.1452026835249747</v>
      </c>
      <c r="E39" s="132">
        <f>Bestämningsfaktorer!K51</f>
        <v>1.0492791207001306</v>
      </c>
      <c r="F39" s="122"/>
      <c r="G39" s="122"/>
    </row>
    <row r="40" spans="1:7" x14ac:dyDescent="0.35">
      <c r="A40" s="130"/>
      <c r="B40" s="130" t="s">
        <v>35</v>
      </c>
      <c r="C40" s="122">
        <v>5488130</v>
      </c>
      <c r="D40" s="131">
        <f>Bestämningsfaktorer!F52</f>
        <v>1</v>
      </c>
      <c r="E40" s="132">
        <f>Bestämningsfaktorer!K52</f>
        <v>1</v>
      </c>
      <c r="F40" s="122"/>
      <c r="G40" s="122"/>
    </row>
    <row r="41" spans="1:7" x14ac:dyDescent="0.35">
      <c r="A41" s="122"/>
      <c r="B41" s="122"/>
      <c r="C41" s="122"/>
      <c r="D41" s="122"/>
      <c r="E41" s="122"/>
      <c r="F41" s="122"/>
      <c r="G41" s="122"/>
    </row>
    <row r="42" spans="1:7" s="133" customFormat="1" x14ac:dyDescent="0.35">
      <c r="A42" s="129" t="s">
        <v>412</v>
      </c>
      <c r="B42" s="129"/>
      <c r="C42" s="129"/>
      <c r="D42" s="129"/>
      <c r="E42" s="129"/>
      <c r="F42" s="129"/>
      <c r="G42" s="129"/>
    </row>
    <row r="43" spans="1:7" s="133" customFormat="1" x14ac:dyDescent="0.35">
      <c r="A43" s="260" t="s">
        <v>22</v>
      </c>
      <c r="B43" s="260" t="s">
        <v>34</v>
      </c>
      <c r="C43" s="260" t="s">
        <v>372</v>
      </c>
      <c r="D43" s="260" t="s">
        <v>379</v>
      </c>
      <c r="E43" s="260" t="s">
        <v>814</v>
      </c>
      <c r="F43" s="260" t="s">
        <v>399</v>
      </c>
      <c r="G43" s="260" t="s">
        <v>400</v>
      </c>
    </row>
    <row r="44" spans="1:7" x14ac:dyDescent="0.35">
      <c r="A44" s="122">
        <v>31</v>
      </c>
      <c r="B44" s="130" t="s">
        <v>37</v>
      </c>
      <c r="C44" s="128">
        <f>C18*$B$14</f>
        <v>35157069.274356626</v>
      </c>
      <c r="D44" s="128">
        <f>D18*$C$14*C18</f>
        <v>43288.999669494799</v>
      </c>
      <c r="E44" s="128">
        <f>E18*$D$14*C18</f>
        <v>7529158.1953293392</v>
      </c>
      <c r="F44" s="134">
        <f>SUM(C44:E44)</f>
        <v>42729516.469355457</v>
      </c>
      <c r="G44" s="134">
        <f>F44/C18</f>
        <v>65.936338183876131</v>
      </c>
    </row>
    <row r="45" spans="1:7" x14ac:dyDescent="0.35">
      <c r="A45" s="122">
        <v>32</v>
      </c>
      <c r="B45" s="130" t="s">
        <v>39</v>
      </c>
      <c r="C45" s="128">
        <f t="shared" ref="C45:C65" si="2">C19*$B$14</f>
        <v>14345107.65895633</v>
      </c>
      <c r="D45" s="128">
        <f t="shared" ref="D45:D65" si="3">D19*$C$14*C19</f>
        <v>16384.523617923311</v>
      </c>
      <c r="E45" s="128">
        <f t="shared" ref="E45:E65" si="4">E19*$D$14*C19</f>
        <v>6212584.0846706582</v>
      </c>
      <c r="F45" s="134">
        <f t="shared" ref="F45:F65" si="5">SUM(C45:E45)</f>
        <v>20574076.267244913</v>
      </c>
      <c r="G45" s="134">
        <f t="shared" ref="G45:G65" si="6">F45/C19</f>
        <v>77.808321107499097</v>
      </c>
    </row>
    <row r="46" spans="1:7" x14ac:dyDescent="0.35">
      <c r="A46" s="122">
        <v>33</v>
      </c>
      <c r="B46" s="130" t="s">
        <v>41</v>
      </c>
      <c r="C46" s="128">
        <f t="shared" si="2"/>
        <v>25188950.065308001</v>
      </c>
      <c r="D46" s="128">
        <f t="shared" si="3"/>
        <v>474909.34693279548</v>
      </c>
      <c r="E46" s="128">
        <f t="shared" si="4"/>
        <v>10614878.767185625</v>
      </c>
      <c r="F46" s="134">
        <f t="shared" si="5"/>
        <v>36278738.179426417</v>
      </c>
      <c r="G46" s="134">
        <f t="shared" si="6"/>
        <v>78.136079920884285</v>
      </c>
    </row>
    <row r="47" spans="1:7" x14ac:dyDescent="0.35">
      <c r="A47" s="122">
        <v>34</v>
      </c>
      <c r="B47" s="130" t="s">
        <v>43</v>
      </c>
      <c r="C47" s="128">
        <f t="shared" si="2"/>
        <v>5276636.4353417652</v>
      </c>
      <c r="D47" s="128">
        <f t="shared" si="3"/>
        <v>334764.2334776434</v>
      </c>
      <c r="E47" s="128">
        <f t="shared" si="4"/>
        <v>2386290.5755688618</v>
      </c>
      <c r="F47" s="134">
        <f t="shared" si="5"/>
        <v>7997691.2443882711</v>
      </c>
      <c r="G47" s="134">
        <f t="shared" si="6"/>
        <v>82.22747853128395</v>
      </c>
    </row>
    <row r="48" spans="1:7" x14ac:dyDescent="0.35">
      <c r="A48" s="122">
        <v>35</v>
      </c>
      <c r="B48" s="130" t="s">
        <v>45</v>
      </c>
      <c r="C48" s="128">
        <f t="shared" si="2"/>
        <v>10687327.635925498</v>
      </c>
      <c r="D48" s="128">
        <f t="shared" si="3"/>
        <v>103627.57742110903</v>
      </c>
      <c r="E48" s="128">
        <f t="shared" si="4"/>
        <v>5595439.9702993995</v>
      </c>
      <c r="F48" s="134">
        <f t="shared" si="5"/>
        <v>16386395.183646005</v>
      </c>
      <c r="G48" s="134">
        <f t="shared" si="6"/>
        <v>83.180937697761919</v>
      </c>
    </row>
    <row r="49" spans="1:28" x14ac:dyDescent="0.35">
      <c r="A49" s="122">
        <v>2</v>
      </c>
      <c r="B49" s="130" t="s">
        <v>47</v>
      </c>
      <c r="C49" s="128">
        <f t="shared" si="2"/>
        <v>25963657.490502376</v>
      </c>
      <c r="D49" s="128">
        <f t="shared" si="3"/>
        <v>1241777.6036477003</v>
      </c>
      <c r="E49" s="128">
        <f t="shared" si="4"/>
        <v>13659456.398083828</v>
      </c>
      <c r="F49" s="134">
        <f t="shared" si="5"/>
        <v>40864891.492233902</v>
      </c>
      <c r="G49" s="134">
        <f t="shared" si="6"/>
        <v>85.387439335858645</v>
      </c>
    </row>
    <row r="50" spans="1:28" x14ac:dyDescent="0.35">
      <c r="A50" s="122">
        <v>4</v>
      </c>
      <c r="B50" s="130" t="s">
        <v>49</v>
      </c>
      <c r="C50" s="128">
        <f t="shared" si="2"/>
        <v>11860618.776309162</v>
      </c>
      <c r="D50" s="128">
        <f t="shared" si="3"/>
        <v>703506.70412603556</v>
      </c>
      <c r="E50" s="128">
        <f t="shared" si="4"/>
        <v>7570301.1362874219</v>
      </c>
      <c r="F50" s="134">
        <f t="shared" si="5"/>
        <v>20134426.616722621</v>
      </c>
      <c r="G50" s="134">
        <f t="shared" si="6"/>
        <v>92.096140481935294</v>
      </c>
    </row>
    <row r="51" spans="1:28" x14ac:dyDescent="0.35">
      <c r="A51" s="122">
        <v>5</v>
      </c>
      <c r="B51" s="130" t="s">
        <v>51</v>
      </c>
      <c r="C51" s="128">
        <f t="shared" si="2"/>
        <v>9296706.1072134953</v>
      </c>
      <c r="D51" s="128">
        <f t="shared" si="3"/>
        <v>344981.88842756604</v>
      </c>
      <c r="E51" s="128">
        <f t="shared" si="4"/>
        <v>5101724.6788023943</v>
      </c>
      <c r="F51" s="134">
        <f t="shared" si="5"/>
        <v>14743412.674443457</v>
      </c>
      <c r="G51" s="134">
        <f t="shared" si="6"/>
        <v>86.0356473614263</v>
      </c>
    </row>
    <row r="52" spans="1:28" x14ac:dyDescent="0.35">
      <c r="A52" s="122">
        <v>6</v>
      </c>
      <c r="B52" s="130" t="s">
        <v>53</v>
      </c>
      <c r="C52" s="128">
        <f t="shared" si="2"/>
        <v>28065946.526476268</v>
      </c>
      <c r="D52" s="128">
        <f t="shared" si="3"/>
        <v>874909.37739840662</v>
      </c>
      <c r="E52" s="128">
        <f t="shared" si="4"/>
        <v>12795454.63796407</v>
      </c>
      <c r="F52" s="134">
        <f t="shared" si="5"/>
        <v>41736310.541838743</v>
      </c>
      <c r="G52" s="134">
        <f t="shared" si="6"/>
        <v>80.675909988032359</v>
      </c>
    </row>
    <row r="53" spans="1:28" x14ac:dyDescent="0.35">
      <c r="A53" s="122">
        <v>7</v>
      </c>
      <c r="B53" s="130" t="s">
        <v>55</v>
      </c>
      <c r="C53" s="128">
        <f t="shared" si="2"/>
        <v>11251377.572882494</v>
      </c>
      <c r="D53" s="128">
        <f t="shared" si="3"/>
        <v>378234.61163737351</v>
      </c>
      <c r="E53" s="128">
        <f t="shared" si="4"/>
        <v>6377155.8485029927</v>
      </c>
      <c r="F53" s="134">
        <f t="shared" si="5"/>
        <v>18006768.033022862</v>
      </c>
      <c r="G53" s="134">
        <f t="shared" si="6"/>
        <v>86.823958422243948</v>
      </c>
    </row>
    <row r="54" spans="1:28" x14ac:dyDescent="0.35">
      <c r="A54" s="122">
        <v>8</v>
      </c>
      <c r="B54" s="130" t="s">
        <v>57</v>
      </c>
      <c r="C54" s="128">
        <f t="shared" si="2"/>
        <v>9039501.0720001534</v>
      </c>
      <c r="D54" s="128">
        <f t="shared" si="3"/>
        <v>448428.08735843975</v>
      </c>
      <c r="E54" s="128">
        <f t="shared" si="4"/>
        <v>6006869.3798802383</v>
      </c>
      <c r="F54" s="134">
        <f t="shared" si="5"/>
        <v>15494798.539238831</v>
      </c>
      <c r="G54" s="134">
        <f t="shared" si="6"/>
        <v>92.993155442158837</v>
      </c>
    </row>
    <row r="55" spans="1:28" x14ac:dyDescent="0.35">
      <c r="A55" s="122">
        <v>9</v>
      </c>
      <c r="B55" s="130" t="s">
        <v>59</v>
      </c>
      <c r="C55" s="128">
        <f t="shared" si="2"/>
        <v>6985170.1147287693</v>
      </c>
      <c r="D55" s="128">
        <f t="shared" si="3"/>
        <v>437484.91844757588</v>
      </c>
      <c r="E55" s="128">
        <f t="shared" si="4"/>
        <v>4155437.0367664662</v>
      </c>
      <c r="F55" s="134">
        <f t="shared" si="5"/>
        <v>11578092.069942812</v>
      </c>
      <c r="G55" s="134">
        <f t="shared" si="6"/>
        <v>89.922738124381084</v>
      </c>
    </row>
    <row r="56" spans="1:28" x14ac:dyDescent="0.35">
      <c r="A56" s="122">
        <v>10</v>
      </c>
      <c r="B56" s="130" t="s">
        <v>61</v>
      </c>
      <c r="C56" s="128">
        <f t="shared" si="2"/>
        <v>7403881.0326314429</v>
      </c>
      <c r="D56" s="128">
        <f t="shared" si="3"/>
        <v>1134703.8349121206</v>
      </c>
      <c r="E56" s="128">
        <f t="shared" si="4"/>
        <v>4320008.800598802</v>
      </c>
      <c r="F56" s="134">
        <f t="shared" si="5"/>
        <v>12858593.668142365</v>
      </c>
      <c r="G56" s="134">
        <f t="shared" si="6"/>
        <v>94.220098100314829</v>
      </c>
    </row>
    <row r="57" spans="1:28" x14ac:dyDescent="0.35">
      <c r="A57" s="122">
        <v>11</v>
      </c>
      <c r="B57" s="130" t="s">
        <v>63</v>
      </c>
      <c r="C57" s="128">
        <f t="shared" si="2"/>
        <v>13585265.068110924</v>
      </c>
      <c r="D57" s="128">
        <f t="shared" si="3"/>
        <v>1231439.0297042879</v>
      </c>
      <c r="E57" s="128">
        <f t="shared" si="4"/>
        <v>5965726.4389221547</v>
      </c>
      <c r="F57" s="134">
        <f t="shared" si="5"/>
        <v>20782430.536737368</v>
      </c>
      <c r="G57" s="134">
        <f t="shared" si="6"/>
        <v>82.992286919810269</v>
      </c>
    </row>
    <row r="58" spans="1:28" x14ac:dyDescent="0.35">
      <c r="A58" s="122">
        <v>12</v>
      </c>
      <c r="B58" s="130" t="s">
        <v>65</v>
      </c>
      <c r="C58" s="128">
        <f t="shared" si="2"/>
        <v>8982320.2858548537</v>
      </c>
      <c r="D58" s="128">
        <f t="shared" si="3"/>
        <v>1304957.7777463347</v>
      </c>
      <c r="E58" s="128">
        <f t="shared" si="4"/>
        <v>4608009.3873053882</v>
      </c>
      <c r="F58" s="134">
        <f t="shared" si="5"/>
        <v>14895287.450906577</v>
      </c>
      <c r="G58" s="134">
        <f t="shared" si="6"/>
        <v>89.964229118413328</v>
      </c>
    </row>
    <row r="59" spans="1:28" x14ac:dyDescent="0.35">
      <c r="A59" s="122">
        <v>13</v>
      </c>
      <c r="B59" s="130" t="s">
        <v>67</v>
      </c>
      <c r="C59" s="128">
        <f t="shared" si="2"/>
        <v>14825936.224047208</v>
      </c>
      <c r="D59" s="128">
        <f t="shared" si="3"/>
        <v>1206287.879058324</v>
      </c>
      <c r="E59" s="128">
        <f t="shared" si="4"/>
        <v>7446872.3134131711</v>
      </c>
      <c r="F59" s="134">
        <f t="shared" si="5"/>
        <v>23479096.416518703</v>
      </c>
      <c r="G59" s="134">
        <f t="shared" si="6"/>
        <v>85.914954155650747</v>
      </c>
      <c r="X59" s="122"/>
      <c r="Y59" s="122"/>
      <c r="Z59" s="122"/>
      <c r="AA59" s="122"/>
      <c r="AB59" s="122"/>
    </row>
    <row r="60" spans="1:28" x14ac:dyDescent="0.35">
      <c r="A60" s="122">
        <v>14</v>
      </c>
      <c r="B60" s="130" t="s">
        <v>69</v>
      </c>
      <c r="C60" s="128">
        <f t="shared" si="2"/>
        <v>10541880.114430672</v>
      </c>
      <c r="D60" s="128">
        <f t="shared" si="3"/>
        <v>846493.41392820759</v>
      </c>
      <c r="E60" s="128">
        <f t="shared" si="4"/>
        <v>6006869.3798802374</v>
      </c>
      <c r="F60" s="134">
        <f t="shared" si="5"/>
        <v>17395242.908239115</v>
      </c>
      <c r="G60" s="134">
        <f t="shared" si="6"/>
        <v>89.520383850218792</v>
      </c>
      <c r="H60" s="135"/>
      <c r="X60" s="122"/>
      <c r="Y60" s="122"/>
      <c r="Z60" s="122"/>
      <c r="AA60" s="122"/>
      <c r="AB60" s="122"/>
    </row>
    <row r="61" spans="1:28" x14ac:dyDescent="0.35">
      <c r="A61" s="122">
        <v>15</v>
      </c>
      <c r="B61" s="130" t="s">
        <v>71</v>
      </c>
      <c r="C61" s="128">
        <f t="shared" si="2"/>
        <v>9558685.2498089876</v>
      </c>
      <c r="D61" s="128">
        <f t="shared" si="3"/>
        <v>1052660.2978290138</v>
      </c>
      <c r="E61" s="128">
        <f t="shared" si="4"/>
        <v>3538292.9223952093</v>
      </c>
      <c r="F61" s="134">
        <f t="shared" si="5"/>
        <v>14149638.47003321</v>
      </c>
      <c r="G61" s="134">
        <f t="shared" si="6"/>
        <v>80.307608531741948</v>
      </c>
      <c r="H61" s="44"/>
      <c r="J61" s="4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</row>
    <row r="62" spans="1:28" x14ac:dyDescent="0.35">
      <c r="A62" s="122">
        <v>16</v>
      </c>
      <c r="B62" s="130" t="s">
        <v>73</v>
      </c>
      <c r="C62" s="128">
        <f t="shared" si="2"/>
        <v>3712790.7603660631</v>
      </c>
      <c r="D62" s="128">
        <f t="shared" si="3"/>
        <v>551148.77232837235</v>
      </c>
      <c r="E62" s="128">
        <f t="shared" si="4"/>
        <v>2962291.7489820351</v>
      </c>
      <c r="F62" s="134">
        <f t="shared" si="5"/>
        <v>7226231.2816764712</v>
      </c>
      <c r="G62" s="134">
        <f t="shared" si="6"/>
        <v>105.58953901656226</v>
      </c>
      <c r="H62" s="135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</row>
    <row r="63" spans="1:28" x14ac:dyDescent="0.35">
      <c r="A63" s="122">
        <v>17</v>
      </c>
      <c r="B63" s="130" t="s">
        <v>75</v>
      </c>
      <c r="C63" s="128">
        <f t="shared" si="2"/>
        <v>22360237.190163754</v>
      </c>
      <c r="D63" s="128">
        <f t="shared" si="3"/>
        <v>2626300.0791105926</v>
      </c>
      <c r="E63" s="128">
        <f t="shared" si="4"/>
        <v>7611444.0772455083</v>
      </c>
      <c r="F63" s="134">
        <f t="shared" si="5"/>
        <v>32597981.346519854</v>
      </c>
      <c r="G63" s="134">
        <f t="shared" si="6"/>
        <v>79.090407259589952</v>
      </c>
      <c r="H63" s="136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28" x14ac:dyDescent="0.35">
      <c r="A64" s="122">
        <v>18</v>
      </c>
      <c r="B64" s="130" t="s">
        <v>77</v>
      </c>
      <c r="C64" s="128">
        <f t="shared" si="2"/>
        <v>3963648.4028099556</v>
      </c>
      <c r="D64" s="128">
        <f t="shared" si="3"/>
        <v>1478416.0739080396</v>
      </c>
      <c r="E64" s="128">
        <f t="shared" si="4"/>
        <v>2262861.75269461</v>
      </c>
      <c r="F64" s="134">
        <f t="shared" si="5"/>
        <v>7704926.229412606</v>
      </c>
      <c r="G64" s="134">
        <f t="shared" si="6"/>
        <v>105.45881153300127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</row>
    <row r="65" spans="1:28" x14ac:dyDescent="0.35">
      <c r="A65" s="122">
        <v>19</v>
      </c>
      <c r="B65" s="130" t="s">
        <v>79</v>
      </c>
      <c r="C65" s="128">
        <f t="shared" si="2"/>
        <v>9685036.3417752143</v>
      </c>
      <c r="D65" s="128">
        <f t="shared" si="3"/>
        <v>6068198.7693126444</v>
      </c>
      <c r="E65" s="128">
        <f t="shared" si="4"/>
        <v>4690295.2692215554</v>
      </c>
      <c r="F65" s="134">
        <f t="shared" si="5"/>
        <v>20443530.380309414</v>
      </c>
      <c r="G65" s="134">
        <f t="shared" si="6"/>
        <v>114.51546801127824</v>
      </c>
      <c r="S65" s="122"/>
      <c r="T65" s="122"/>
      <c r="U65" s="122"/>
      <c r="V65" s="122"/>
      <c r="W65" s="122"/>
      <c r="X65" s="122"/>
      <c r="Y65" s="122"/>
      <c r="Z65" s="122"/>
      <c r="AA65" s="122"/>
      <c r="AB65" s="122"/>
    </row>
    <row r="66" spans="1:28" x14ac:dyDescent="0.35">
      <c r="A66" s="122"/>
      <c r="B66" s="130" t="s">
        <v>35</v>
      </c>
      <c r="C66" s="134">
        <f>SUM(C44:C65)</f>
        <v>297737749.40000004</v>
      </c>
      <c r="D66" s="134">
        <f>SUM(D44:D65)</f>
        <v>22902903.799999997</v>
      </c>
      <c r="E66" s="134">
        <f>SUM(E44:E65)</f>
        <v>137417422.79999998</v>
      </c>
      <c r="F66" s="134">
        <f>SUM(C66:E66)</f>
        <v>458058076</v>
      </c>
      <c r="G66" s="137">
        <f>F66/C40</f>
        <v>83.463415771856717</v>
      </c>
      <c r="H66" s="138"/>
      <c r="I66" s="138"/>
      <c r="J66" s="138"/>
      <c r="K66" s="138"/>
      <c r="L66" s="138"/>
      <c r="M66" s="139"/>
      <c r="N66" s="138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</row>
    <row r="67" spans="1:28" x14ac:dyDescent="0.35">
      <c r="A67" s="122"/>
      <c r="B67" s="114" t="s">
        <v>413</v>
      </c>
      <c r="C67" s="140">
        <f>C66/$F$66</f>
        <v>0.65000000000000013</v>
      </c>
      <c r="D67" s="140">
        <f t="shared" ref="D67:F67" si="7">D66/$F$66</f>
        <v>4.9999999999999996E-2</v>
      </c>
      <c r="E67" s="140">
        <f t="shared" si="7"/>
        <v>0.29999999999999993</v>
      </c>
      <c r="F67" s="140">
        <f t="shared" si="7"/>
        <v>1</v>
      </c>
      <c r="G67" s="137"/>
      <c r="H67" s="138"/>
      <c r="I67" s="138"/>
      <c r="J67" s="138"/>
      <c r="K67" s="138"/>
      <c r="L67" s="138"/>
      <c r="M67" s="139"/>
      <c r="N67" s="138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</row>
    <row r="68" spans="1:28" x14ac:dyDescent="0.35">
      <c r="A68" s="122"/>
      <c r="B68" s="130"/>
      <c r="C68" s="134"/>
      <c r="D68" s="134"/>
      <c r="E68" s="134"/>
      <c r="F68" s="134"/>
      <c r="G68" s="137"/>
      <c r="H68" s="138"/>
      <c r="I68" s="138"/>
      <c r="J68" s="138"/>
      <c r="K68" s="138"/>
      <c r="L68" s="138"/>
      <c r="M68" s="139"/>
      <c r="N68" s="138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</row>
    <row r="69" spans="1:28" x14ac:dyDescent="0.35">
      <c r="A69" s="129" t="s">
        <v>414</v>
      </c>
      <c r="B69" s="129"/>
      <c r="C69" s="129"/>
      <c r="D69" s="129"/>
      <c r="E69" s="129"/>
      <c r="F69" s="129"/>
      <c r="G69" s="129"/>
      <c r="H69" s="138"/>
      <c r="I69" s="138"/>
      <c r="J69" s="138"/>
      <c r="K69" s="138"/>
      <c r="L69" s="138"/>
      <c r="M69" s="139"/>
      <c r="N69" s="138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</row>
    <row r="70" spans="1:28" x14ac:dyDescent="0.35">
      <c r="A70" s="260" t="s">
        <v>22</v>
      </c>
      <c r="B70" s="260" t="s">
        <v>34</v>
      </c>
      <c r="C70" s="260" t="s">
        <v>372</v>
      </c>
      <c r="D70" s="260" t="s">
        <v>379</v>
      </c>
      <c r="E70" s="260" t="s">
        <v>814</v>
      </c>
      <c r="F70" s="260" t="s">
        <v>400</v>
      </c>
      <c r="G70" s="260" t="s">
        <v>403</v>
      </c>
      <c r="H70" s="138"/>
      <c r="I70" s="138"/>
      <c r="J70" s="138"/>
      <c r="K70" s="138"/>
      <c r="L70" s="138"/>
      <c r="M70" s="139"/>
      <c r="N70" s="138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</row>
    <row r="71" spans="1:28" x14ac:dyDescent="0.35">
      <c r="A71" s="130">
        <v>31</v>
      </c>
      <c r="B71" s="130" t="s">
        <v>37</v>
      </c>
      <c r="C71" s="128">
        <f>C44/$C18</f>
        <v>54.251220251706876</v>
      </c>
      <c r="D71" s="128">
        <f t="shared" ref="D71:F71" si="8">D44/$C18</f>
        <v>6.6799682226606913E-2</v>
      </c>
      <c r="E71" s="128">
        <f t="shared" si="8"/>
        <v>11.618318249942657</v>
      </c>
      <c r="F71" s="134">
        <f t="shared" si="8"/>
        <v>65.936338183876131</v>
      </c>
      <c r="G71" s="134">
        <f>SUM(C71:E71)</f>
        <v>65.936338183876146</v>
      </c>
      <c r="H71" s="138"/>
      <c r="I71" s="138"/>
      <c r="J71" s="138"/>
      <c r="K71" s="138"/>
      <c r="L71" s="138"/>
      <c r="M71" s="139"/>
      <c r="N71" s="138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</row>
    <row r="72" spans="1:28" x14ac:dyDescent="0.35">
      <c r="A72" s="130">
        <v>32</v>
      </c>
      <c r="B72" s="130" t="s">
        <v>39</v>
      </c>
      <c r="C72" s="128">
        <f t="shared" ref="C72:F92" si="9">C45/$C19</f>
        <v>54.251220251706869</v>
      </c>
      <c r="D72" s="128">
        <f t="shared" si="9"/>
        <v>6.1964010354448644E-2</v>
      </c>
      <c r="E72" s="128">
        <f t="shared" si="9"/>
        <v>23.495136845437781</v>
      </c>
      <c r="F72" s="134">
        <f t="shared" si="9"/>
        <v>77.808321107499097</v>
      </c>
      <c r="G72" s="134">
        <f t="shared" ref="G72:G93" si="10">SUM(C72:E72)</f>
        <v>77.808321107499097</v>
      </c>
      <c r="H72" s="138"/>
      <c r="I72" s="138"/>
      <c r="J72" s="138"/>
      <c r="K72" s="138"/>
      <c r="L72" s="138"/>
      <c r="M72" s="139"/>
      <c r="N72" s="138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</row>
    <row r="73" spans="1:28" x14ac:dyDescent="0.35">
      <c r="A73" s="130">
        <v>33</v>
      </c>
      <c r="B73" s="130" t="s">
        <v>41</v>
      </c>
      <c r="C73" s="128">
        <f t="shared" si="9"/>
        <v>54.251220251706862</v>
      </c>
      <c r="D73" s="128">
        <f t="shared" si="9"/>
        <v>1.0228457920336236</v>
      </c>
      <c r="E73" s="128">
        <f t="shared" si="9"/>
        <v>22.862013877143809</v>
      </c>
      <c r="F73" s="134">
        <f t="shared" si="9"/>
        <v>78.136079920884285</v>
      </c>
      <c r="G73" s="134">
        <f t="shared" si="10"/>
        <v>78.136079920884299</v>
      </c>
      <c r="H73" s="138"/>
      <c r="I73" s="138"/>
      <c r="J73" s="138"/>
      <c r="K73" s="138"/>
      <c r="L73" s="138"/>
      <c r="M73" s="139"/>
      <c r="N73" s="138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</row>
    <row r="74" spans="1:28" x14ac:dyDescent="0.35">
      <c r="A74" s="130">
        <v>34</v>
      </c>
      <c r="B74" s="130" t="s">
        <v>43</v>
      </c>
      <c r="C74" s="128">
        <f t="shared" si="9"/>
        <v>54.251220251706869</v>
      </c>
      <c r="D74" s="128">
        <f t="shared" si="9"/>
        <v>3.4418456502230383</v>
      </c>
      <c r="E74" s="128">
        <f t="shared" si="9"/>
        <v>24.534412629354037</v>
      </c>
      <c r="F74" s="134">
        <f t="shared" si="9"/>
        <v>82.22747853128395</v>
      </c>
      <c r="G74" s="134">
        <f t="shared" si="10"/>
        <v>82.227478531283936</v>
      </c>
      <c r="H74" s="138"/>
      <c r="I74" s="138"/>
      <c r="J74" s="138"/>
      <c r="K74" s="138"/>
      <c r="L74" s="138"/>
      <c r="M74" s="139"/>
      <c r="N74" s="138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</row>
    <row r="75" spans="1:28" x14ac:dyDescent="0.35">
      <c r="A75" s="130">
        <v>35</v>
      </c>
      <c r="B75" s="130" t="s">
        <v>45</v>
      </c>
      <c r="C75" s="128">
        <f t="shared" si="9"/>
        <v>54.251220251706869</v>
      </c>
      <c r="D75" s="128">
        <f t="shared" si="9"/>
        <v>0.52603632248769794</v>
      </c>
      <c r="E75" s="128">
        <f t="shared" si="9"/>
        <v>28.40368112356736</v>
      </c>
      <c r="F75" s="134">
        <f t="shared" si="9"/>
        <v>83.180937697761919</v>
      </c>
      <c r="G75" s="134">
        <f t="shared" si="10"/>
        <v>83.180937697761919</v>
      </c>
      <c r="H75" s="138"/>
      <c r="I75" s="138"/>
      <c r="J75" s="138"/>
      <c r="K75" s="138"/>
      <c r="L75" s="138"/>
      <c r="M75" s="139"/>
      <c r="N75" s="138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x14ac:dyDescent="0.35">
      <c r="A76" s="130">
        <v>2</v>
      </c>
      <c r="B76" s="130" t="s">
        <v>47</v>
      </c>
      <c r="C76" s="128">
        <f t="shared" si="9"/>
        <v>54.251220251706869</v>
      </c>
      <c r="D76" s="128">
        <f t="shared" si="9"/>
        <v>2.5947018559989727</v>
      </c>
      <c r="E76" s="128">
        <f t="shared" si="9"/>
        <v>28.541517228152809</v>
      </c>
      <c r="F76" s="134">
        <f t="shared" si="9"/>
        <v>85.387439335858645</v>
      </c>
      <c r="G76" s="134">
        <f t="shared" si="10"/>
        <v>85.387439335858645</v>
      </c>
      <c r="H76" s="138"/>
      <c r="I76" s="138"/>
      <c r="J76" s="138"/>
      <c r="K76" s="138"/>
      <c r="L76" s="138"/>
      <c r="M76" s="139"/>
      <c r="N76" s="138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x14ac:dyDescent="0.35">
      <c r="A77" s="130">
        <v>4</v>
      </c>
      <c r="B77" s="130" t="s">
        <v>49</v>
      </c>
      <c r="C77" s="128">
        <f t="shared" si="9"/>
        <v>54.251220251706869</v>
      </c>
      <c r="D77" s="128">
        <f t="shared" si="9"/>
        <v>3.2178841487029581</v>
      </c>
      <c r="E77" s="128">
        <f t="shared" si="9"/>
        <v>34.627036081525461</v>
      </c>
      <c r="F77" s="134">
        <f t="shared" si="9"/>
        <v>92.096140481935294</v>
      </c>
      <c r="G77" s="134">
        <f t="shared" si="10"/>
        <v>92.096140481935294</v>
      </c>
      <c r="H77" s="138"/>
      <c r="I77" s="138"/>
      <c r="J77" s="138"/>
      <c r="K77" s="138"/>
      <c r="L77" s="138"/>
      <c r="M77" s="139"/>
      <c r="N77" s="138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 x14ac:dyDescent="0.35">
      <c r="A78" s="130">
        <v>5</v>
      </c>
      <c r="B78" s="130" t="s">
        <v>51</v>
      </c>
      <c r="C78" s="128">
        <f t="shared" si="9"/>
        <v>54.251220251706869</v>
      </c>
      <c r="D78" s="128">
        <f t="shared" si="9"/>
        <v>2.0131526366539414</v>
      </c>
      <c r="E78" s="128">
        <f t="shared" si="9"/>
        <v>29.771274473065489</v>
      </c>
      <c r="F78" s="134">
        <f t="shared" si="9"/>
        <v>86.0356473614263</v>
      </c>
      <c r="G78" s="134">
        <f t="shared" si="10"/>
        <v>86.0356473614263</v>
      </c>
      <c r="H78" s="138"/>
      <c r="I78" s="138"/>
      <c r="J78" s="138"/>
      <c r="K78" s="138"/>
      <c r="L78" s="138"/>
      <c r="M78" s="139"/>
      <c r="N78" s="138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 x14ac:dyDescent="0.35">
      <c r="A79" s="130">
        <v>6</v>
      </c>
      <c r="B79" s="130" t="s">
        <v>53</v>
      </c>
      <c r="C79" s="128">
        <f t="shared" si="9"/>
        <v>54.251220251706869</v>
      </c>
      <c r="D79" s="128">
        <f t="shared" si="9"/>
        <v>1.6911918965123172</v>
      </c>
      <c r="E79" s="128">
        <f t="shared" si="9"/>
        <v>24.733497839813175</v>
      </c>
      <c r="F79" s="134">
        <f t="shared" si="9"/>
        <v>80.675909988032359</v>
      </c>
      <c r="G79" s="134">
        <f t="shared" si="10"/>
        <v>80.675909988032359</v>
      </c>
      <c r="H79" s="138"/>
      <c r="I79" s="138"/>
      <c r="J79" s="138"/>
      <c r="K79" s="138"/>
      <c r="L79" s="138"/>
      <c r="M79" s="139"/>
      <c r="N79" s="138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</row>
    <row r="80" spans="1:28" x14ac:dyDescent="0.35">
      <c r="A80" s="130">
        <v>7</v>
      </c>
      <c r="B80" s="130" t="s">
        <v>55</v>
      </c>
      <c r="C80" s="128">
        <f t="shared" si="9"/>
        <v>54.251220251706869</v>
      </c>
      <c r="D80" s="128">
        <f t="shared" si="9"/>
        <v>1.8237490556012879</v>
      </c>
      <c r="E80" s="128">
        <f t="shared" si="9"/>
        <v>30.748989114935789</v>
      </c>
      <c r="F80" s="134">
        <f t="shared" si="9"/>
        <v>86.823958422243948</v>
      </c>
      <c r="G80" s="134">
        <f t="shared" si="10"/>
        <v>86.823958422243948</v>
      </c>
      <c r="H80" s="138"/>
      <c r="I80" s="138"/>
      <c r="J80" s="138"/>
      <c r="K80" s="138"/>
      <c r="L80" s="138"/>
      <c r="M80" s="139"/>
      <c r="N80" s="138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</row>
    <row r="81" spans="1:29" x14ac:dyDescent="0.35">
      <c r="A81" s="130">
        <v>8</v>
      </c>
      <c r="B81" s="130" t="s">
        <v>57</v>
      </c>
      <c r="C81" s="128">
        <f t="shared" si="9"/>
        <v>54.251220251706869</v>
      </c>
      <c r="D81" s="128">
        <f t="shared" si="9"/>
        <v>2.6912736378437536</v>
      </c>
      <c r="E81" s="128">
        <f t="shared" si="9"/>
        <v>36.050661552608211</v>
      </c>
      <c r="F81" s="134">
        <f t="shared" si="9"/>
        <v>92.993155442158837</v>
      </c>
      <c r="G81" s="134">
        <f t="shared" si="10"/>
        <v>92.993155442158837</v>
      </c>
      <c r="H81" s="138"/>
      <c r="I81" s="138"/>
      <c r="J81" s="138"/>
      <c r="K81" s="138"/>
      <c r="L81" s="138"/>
      <c r="M81" s="139"/>
      <c r="N81" s="138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9" x14ac:dyDescent="0.35">
      <c r="A82" s="130">
        <v>9</v>
      </c>
      <c r="B82" s="130" t="s">
        <v>59</v>
      </c>
      <c r="C82" s="128">
        <f t="shared" si="9"/>
        <v>54.251220251706869</v>
      </c>
      <c r="D82" s="128">
        <f t="shared" si="9"/>
        <v>3.3977827708811699</v>
      </c>
      <c r="E82" s="128">
        <f t="shared" si="9"/>
        <v>32.273735101793051</v>
      </c>
      <c r="F82" s="134">
        <f t="shared" si="9"/>
        <v>89.922738124381084</v>
      </c>
      <c r="G82" s="134">
        <f t="shared" si="10"/>
        <v>89.922738124381084</v>
      </c>
      <c r="H82" s="138"/>
      <c r="I82" s="138"/>
      <c r="J82" s="138"/>
      <c r="K82" s="138"/>
      <c r="L82" s="138"/>
      <c r="M82" s="139"/>
      <c r="N82" s="138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:29" x14ac:dyDescent="0.35">
      <c r="A83" s="130">
        <v>10</v>
      </c>
      <c r="B83" s="130" t="s">
        <v>61</v>
      </c>
      <c r="C83" s="128">
        <f t="shared" si="9"/>
        <v>54.251220251706869</v>
      </c>
      <c r="D83" s="128">
        <f t="shared" si="9"/>
        <v>8.3144323088069569</v>
      </c>
      <c r="E83" s="128">
        <f t="shared" si="9"/>
        <v>31.654445539801003</v>
      </c>
      <c r="F83" s="134">
        <f t="shared" si="9"/>
        <v>94.220098100314829</v>
      </c>
      <c r="G83" s="134">
        <f t="shared" si="10"/>
        <v>94.220098100314829</v>
      </c>
      <c r="H83" s="138"/>
      <c r="I83" s="138"/>
      <c r="J83" s="138"/>
      <c r="K83" s="138"/>
      <c r="L83" s="138"/>
      <c r="M83" s="139"/>
      <c r="N83" s="138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9" x14ac:dyDescent="0.35">
      <c r="A84" s="130">
        <v>11</v>
      </c>
      <c r="B84" s="130" t="s">
        <v>63</v>
      </c>
      <c r="C84" s="128">
        <f t="shared" si="9"/>
        <v>54.251220251706869</v>
      </c>
      <c r="D84" s="128">
        <f t="shared" si="9"/>
        <v>4.9176125524303265</v>
      </c>
      <c r="E84" s="128">
        <f t="shared" si="9"/>
        <v>23.823454115673066</v>
      </c>
      <c r="F84" s="134">
        <f t="shared" si="9"/>
        <v>82.992286919810269</v>
      </c>
      <c r="G84" s="134">
        <f t="shared" si="10"/>
        <v>82.992286919810255</v>
      </c>
      <c r="H84" s="138"/>
      <c r="I84" s="138"/>
      <c r="J84" s="138"/>
      <c r="K84" s="138"/>
      <c r="L84" s="138"/>
      <c r="M84" s="139"/>
      <c r="N84" s="138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9" x14ac:dyDescent="0.35">
      <c r="A85" s="130">
        <v>12</v>
      </c>
      <c r="B85" s="130" t="s">
        <v>65</v>
      </c>
      <c r="C85" s="128">
        <f t="shared" si="9"/>
        <v>54.251220251706862</v>
      </c>
      <c r="D85" s="128">
        <f t="shared" si="9"/>
        <v>7.8816552479409472</v>
      </c>
      <c r="E85" s="128">
        <f t="shared" si="9"/>
        <v>27.831353618765519</v>
      </c>
      <c r="F85" s="134">
        <f t="shared" si="9"/>
        <v>89.964229118413328</v>
      </c>
      <c r="G85" s="134">
        <f t="shared" si="10"/>
        <v>89.964229118413328</v>
      </c>
      <c r="H85" s="138"/>
      <c r="I85" s="138"/>
      <c r="J85" s="138"/>
      <c r="K85" s="138"/>
      <c r="L85" s="138"/>
      <c r="M85" s="139"/>
      <c r="N85" s="138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</row>
    <row r="86" spans="1:29" x14ac:dyDescent="0.35">
      <c r="A86" s="130">
        <v>13</v>
      </c>
      <c r="B86" s="130" t="s">
        <v>67</v>
      </c>
      <c r="C86" s="128">
        <f t="shared" si="9"/>
        <v>54.251220251706869</v>
      </c>
      <c r="D86" s="128">
        <f t="shared" si="9"/>
        <v>4.4140611712339375</v>
      </c>
      <c r="E86" s="128">
        <f t="shared" si="9"/>
        <v>27.249672732709943</v>
      </c>
      <c r="F86" s="134">
        <f t="shared" si="9"/>
        <v>85.914954155650747</v>
      </c>
      <c r="G86" s="134">
        <f t="shared" si="10"/>
        <v>85.914954155650747</v>
      </c>
      <c r="H86" s="138"/>
      <c r="I86" s="138"/>
      <c r="J86" s="138"/>
      <c r="K86" s="138"/>
      <c r="L86" s="138"/>
      <c r="M86" s="139"/>
      <c r="N86" s="138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</row>
    <row r="87" spans="1:29" x14ac:dyDescent="0.35">
      <c r="A87" s="130">
        <v>14</v>
      </c>
      <c r="B87" s="130" t="s">
        <v>69</v>
      </c>
      <c r="C87" s="128">
        <f t="shared" si="9"/>
        <v>54.251220251706869</v>
      </c>
      <c r="D87" s="128">
        <f t="shared" si="9"/>
        <v>4.3562723292379815</v>
      </c>
      <c r="E87" s="128">
        <f t="shared" si="9"/>
        <v>30.912891269273953</v>
      </c>
      <c r="F87" s="134">
        <f t="shared" si="9"/>
        <v>89.520383850218792</v>
      </c>
      <c r="G87" s="134">
        <f t="shared" si="10"/>
        <v>89.520383850218806</v>
      </c>
      <c r="H87" s="141"/>
      <c r="I87" s="141"/>
      <c r="J87" s="141"/>
      <c r="K87" s="141"/>
      <c r="L87" s="141"/>
      <c r="M87" s="141"/>
      <c r="N87" s="141"/>
      <c r="O87" s="49"/>
      <c r="P87" s="142"/>
      <c r="Q87" s="49"/>
      <c r="R87" s="49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</row>
    <row r="88" spans="1:29" x14ac:dyDescent="0.35">
      <c r="A88" s="130">
        <v>15</v>
      </c>
      <c r="B88" s="130" t="s">
        <v>71</v>
      </c>
      <c r="C88" s="128">
        <f t="shared" si="9"/>
        <v>54.251220251706862</v>
      </c>
      <c r="D88" s="128">
        <f t="shared" si="9"/>
        <v>5.9744728668506344</v>
      </c>
      <c r="E88" s="128">
        <f t="shared" si="9"/>
        <v>20.081915413184458</v>
      </c>
      <c r="F88" s="134">
        <f t="shared" si="9"/>
        <v>80.307608531741948</v>
      </c>
      <c r="G88" s="134">
        <f t="shared" si="10"/>
        <v>80.307608531741948</v>
      </c>
      <c r="H88" s="49"/>
      <c r="I88" s="49"/>
      <c r="J88" s="49"/>
      <c r="K88" s="49"/>
      <c r="L88" s="49"/>
      <c r="M88" s="49"/>
      <c r="N88" s="49"/>
      <c r="O88" s="49"/>
      <c r="P88" s="142"/>
      <c r="Q88" s="49"/>
      <c r="R88" s="49"/>
      <c r="S88" s="122"/>
      <c r="T88" s="122"/>
      <c r="U88" s="122"/>
      <c r="V88" s="122"/>
      <c r="W88" s="122"/>
    </row>
    <row r="89" spans="1:29" x14ac:dyDescent="0.35">
      <c r="A89" s="130">
        <v>16</v>
      </c>
      <c r="B89" s="130" t="s">
        <v>73</v>
      </c>
      <c r="C89" s="128">
        <f t="shared" si="9"/>
        <v>54.251220251706869</v>
      </c>
      <c r="D89" s="128">
        <f t="shared" si="9"/>
        <v>8.0533742321897854</v>
      </c>
      <c r="E89" s="128">
        <f t="shared" si="9"/>
        <v>43.284944532665591</v>
      </c>
      <c r="F89" s="134">
        <f t="shared" si="9"/>
        <v>105.58953901656226</v>
      </c>
      <c r="G89" s="134">
        <f t="shared" si="10"/>
        <v>105.58953901656224</v>
      </c>
      <c r="H89" s="141"/>
      <c r="I89" s="141"/>
      <c r="J89" s="141"/>
      <c r="K89" s="141"/>
      <c r="L89" s="141"/>
      <c r="M89" s="141"/>
      <c r="N89" s="141"/>
      <c r="O89" s="49"/>
      <c r="P89" s="49"/>
      <c r="Q89" s="49"/>
      <c r="R89" s="49"/>
      <c r="S89" s="49"/>
      <c r="T89" s="49"/>
      <c r="U89" s="49"/>
      <c r="V89" s="49"/>
      <c r="W89" s="49"/>
    </row>
    <row r="90" spans="1:29" x14ac:dyDescent="0.35">
      <c r="A90" s="130">
        <v>17</v>
      </c>
      <c r="B90" s="130" t="s">
        <v>75</v>
      </c>
      <c r="C90" s="128">
        <f t="shared" si="9"/>
        <v>54.251220251706869</v>
      </c>
      <c r="D90" s="128">
        <f t="shared" si="9"/>
        <v>6.3720247163380153</v>
      </c>
      <c r="E90" s="128">
        <f t="shared" si="9"/>
        <v>18.467162291545073</v>
      </c>
      <c r="F90" s="134">
        <f t="shared" si="9"/>
        <v>79.090407259589952</v>
      </c>
      <c r="G90" s="134">
        <f t="shared" si="10"/>
        <v>79.090407259589966</v>
      </c>
      <c r="H90" s="141"/>
      <c r="I90" s="141"/>
      <c r="J90" s="141"/>
      <c r="K90" s="141"/>
      <c r="L90" s="141"/>
      <c r="M90" s="141"/>
      <c r="N90" s="141"/>
      <c r="O90" s="49"/>
      <c r="P90" s="49"/>
      <c r="Q90" s="49"/>
      <c r="R90" s="49"/>
      <c r="S90" s="49"/>
      <c r="T90" s="49"/>
      <c r="U90" s="49"/>
      <c r="V90" s="49"/>
      <c r="W90" s="49"/>
    </row>
    <row r="91" spans="1:29" x14ac:dyDescent="0.35">
      <c r="A91" s="130">
        <v>18</v>
      </c>
      <c r="B91" s="130" t="s">
        <v>77</v>
      </c>
      <c r="C91" s="128">
        <f t="shared" si="9"/>
        <v>54.251220251706869</v>
      </c>
      <c r="D91" s="128">
        <f t="shared" si="9"/>
        <v>20.235365980592103</v>
      </c>
      <c r="E91" s="128">
        <f t="shared" si="9"/>
        <v>30.972225300702291</v>
      </c>
      <c r="F91" s="134">
        <f t="shared" si="9"/>
        <v>105.45881153300127</v>
      </c>
      <c r="G91" s="134">
        <f t="shared" si="10"/>
        <v>105.45881153300127</v>
      </c>
      <c r="H91" s="141"/>
      <c r="I91" s="141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9" x14ac:dyDescent="0.35">
      <c r="A92" s="130">
        <v>19</v>
      </c>
      <c r="B92" s="130" t="s">
        <v>79</v>
      </c>
      <c r="C92" s="128">
        <f t="shared" si="9"/>
        <v>54.251220251706876</v>
      </c>
      <c r="D92" s="128">
        <f t="shared" si="9"/>
        <v>33.991321906054402</v>
      </c>
      <c r="E92" s="128">
        <f t="shared" si="9"/>
        <v>26.272925853516963</v>
      </c>
      <c r="F92" s="134">
        <f t="shared" si="9"/>
        <v>114.51546801127824</v>
      </c>
      <c r="G92" s="134">
        <f t="shared" si="10"/>
        <v>114.51546801127824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9" x14ac:dyDescent="0.35">
      <c r="A93" s="122"/>
      <c r="B93" s="130" t="s">
        <v>35</v>
      </c>
      <c r="C93" s="134">
        <f>C66/$C40</f>
        <v>54.251220251706869</v>
      </c>
      <c r="D93" s="134">
        <f t="shared" ref="D93:F93" si="11">D66/$C40</f>
        <v>4.1731707885928353</v>
      </c>
      <c r="E93" s="134">
        <f t="shared" si="11"/>
        <v>25.03902473155701</v>
      </c>
      <c r="F93" s="134">
        <f t="shared" si="11"/>
        <v>83.463415771856717</v>
      </c>
      <c r="G93" s="134">
        <f t="shared" si="10"/>
        <v>83.463415771856717</v>
      </c>
    </row>
    <row r="94" spans="1:29" x14ac:dyDescent="0.35">
      <c r="A94" s="122"/>
      <c r="B94" s="114" t="s">
        <v>413</v>
      </c>
      <c r="C94" s="140">
        <f>C93/$G$93</f>
        <v>0.65</v>
      </c>
      <c r="D94" s="140">
        <f t="shared" ref="D94:F94" si="12">D93/$G$93</f>
        <v>4.9999999999999996E-2</v>
      </c>
      <c r="E94" s="140">
        <f t="shared" si="12"/>
        <v>0.29999999999999993</v>
      </c>
      <c r="F94" s="140">
        <f t="shared" si="12"/>
        <v>1</v>
      </c>
      <c r="G94" s="134"/>
    </row>
    <row r="95" spans="1:29" x14ac:dyDescent="0.35">
      <c r="A95" s="122"/>
      <c r="B95" s="130"/>
      <c r="C95" s="134"/>
      <c r="D95" s="134"/>
      <c r="E95" s="134"/>
      <c r="F95" s="134"/>
      <c r="G95" s="134"/>
    </row>
    <row r="96" spans="1:29" x14ac:dyDescent="0.35">
      <c r="V96" s="122"/>
      <c r="W96" s="122"/>
      <c r="X96" s="122"/>
      <c r="Y96" s="122"/>
      <c r="Z96" s="122"/>
      <c r="AA96" s="122"/>
      <c r="AB96" s="122"/>
      <c r="AC96" s="122"/>
    </row>
    <row r="97" spans="14:29" x14ac:dyDescent="0.35">
      <c r="O97" s="122"/>
      <c r="P97" s="122"/>
      <c r="Q97" s="122"/>
      <c r="R97" s="122"/>
      <c r="S97" s="122"/>
      <c r="V97" s="122"/>
      <c r="W97" s="122"/>
      <c r="X97" s="122"/>
      <c r="Y97" s="122"/>
      <c r="Z97" s="122"/>
      <c r="AA97" s="122"/>
      <c r="AB97" s="122"/>
      <c r="AC97" s="122"/>
    </row>
    <row r="98" spans="14:29" x14ac:dyDescent="0.35">
      <c r="O98" s="122"/>
      <c r="P98" s="122"/>
      <c r="Q98" s="143"/>
      <c r="R98" s="143"/>
      <c r="S98" s="143"/>
      <c r="T98" s="144"/>
      <c r="U98" s="144"/>
      <c r="V98" s="143"/>
      <c r="W98" s="122"/>
      <c r="X98" s="122"/>
      <c r="Y98" s="122"/>
      <c r="Z98" s="122"/>
      <c r="AA98" s="122"/>
      <c r="AB98" s="122"/>
      <c r="AC98" s="122"/>
    </row>
    <row r="99" spans="14:29" x14ac:dyDescent="0.35">
      <c r="O99" s="145"/>
      <c r="P99" s="145"/>
      <c r="Q99" s="122"/>
      <c r="R99" s="122"/>
      <c r="S99" s="122"/>
      <c r="V99" s="122"/>
      <c r="W99" s="146"/>
      <c r="X99" s="146"/>
      <c r="Y99" s="146"/>
      <c r="Z99" s="147"/>
      <c r="AA99" s="148"/>
      <c r="AB99" s="148"/>
      <c r="AC99" s="122"/>
    </row>
    <row r="100" spans="14:29" x14ac:dyDescent="0.35">
      <c r="O100" s="149"/>
      <c r="P100" s="149"/>
      <c r="Q100" s="122"/>
      <c r="R100" s="122"/>
      <c r="S100" s="122"/>
      <c r="V100" s="122"/>
      <c r="W100" s="146"/>
      <c r="X100" s="146"/>
      <c r="Y100" s="146"/>
      <c r="Z100" s="146"/>
      <c r="AA100" s="148"/>
      <c r="AB100" s="122"/>
      <c r="AC100" s="122"/>
    </row>
    <row r="101" spans="14:29" x14ac:dyDescent="0.35">
      <c r="N101" s="44"/>
      <c r="O101" s="122"/>
      <c r="P101" s="122"/>
      <c r="Q101" s="122"/>
      <c r="R101" s="122"/>
      <c r="S101" s="122"/>
      <c r="T101" s="44"/>
      <c r="V101" s="122"/>
      <c r="W101" s="150"/>
      <c r="X101" s="131"/>
      <c r="Y101" s="132"/>
      <c r="Z101" s="132"/>
      <c r="AA101" s="151"/>
      <c r="AB101" s="152"/>
      <c r="AC101" s="122"/>
    </row>
    <row r="102" spans="14:29" x14ac:dyDescent="0.35">
      <c r="N102" s="44"/>
      <c r="O102" s="153"/>
      <c r="P102" s="122"/>
      <c r="Q102" s="122"/>
      <c r="R102" s="122"/>
      <c r="S102" s="122"/>
      <c r="T102" s="44"/>
      <c r="V102" s="122"/>
      <c r="W102" s="150"/>
      <c r="X102" s="131"/>
      <c r="Y102" s="132"/>
      <c r="Z102" s="132"/>
      <c r="AA102" s="151"/>
      <c r="AB102" s="152"/>
      <c r="AC102" s="122"/>
    </row>
    <row r="103" spans="14:29" x14ac:dyDescent="0.35">
      <c r="N103" s="44"/>
      <c r="O103" s="122"/>
      <c r="P103" s="122"/>
      <c r="Q103" s="122"/>
      <c r="R103" s="122"/>
      <c r="S103" s="122"/>
      <c r="T103" s="44"/>
      <c r="V103" s="122"/>
      <c r="W103" s="150"/>
      <c r="X103" s="131"/>
      <c r="Y103" s="132"/>
      <c r="Z103" s="132"/>
      <c r="AA103" s="151"/>
      <c r="AB103" s="152"/>
      <c r="AC103" s="122"/>
    </row>
    <row r="104" spans="14:29" x14ac:dyDescent="0.35">
      <c r="N104" s="44"/>
      <c r="O104" s="122"/>
      <c r="P104" s="122"/>
      <c r="Q104" s="122"/>
      <c r="R104" s="122"/>
      <c r="S104" s="122"/>
      <c r="T104" s="44"/>
      <c r="V104" s="122"/>
      <c r="W104" s="150"/>
      <c r="X104" s="131"/>
      <c r="Y104" s="132"/>
      <c r="Z104" s="132"/>
      <c r="AA104" s="151"/>
      <c r="AB104" s="152"/>
      <c r="AC104" s="122"/>
    </row>
    <row r="105" spans="14:29" x14ac:dyDescent="0.35">
      <c r="N105" s="44"/>
      <c r="O105" s="153"/>
      <c r="P105" s="122"/>
      <c r="Q105" s="122"/>
      <c r="R105" s="122"/>
      <c r="S105" s="122"/>
      <c r="T105" s="44"/>
      <c r="V105" s="122"/>
      <c r="W105" s="150"/>
      <c r="X105" s="131"/>
      <c r="Y105" s="132"/>
      <c r="Z105" s="132"/>
      <c r="AA105" s="151"/>
      <c r="AB105" s="152"/>
      <c r="AC105" s="122"/>
    </row>
    <row r="106" spans="14:29" x14ac:dyDescent="0.35">
      <c r="N106" s="44"/>
      <c r="O106" s="122"/>
      <c r="P106" s="122"/>
      <c r="Q106" s="122"/>
      <c r="R106" s="122"/>
      <c r="S106" s="122"/>
      <c r="T106" s="44"/>
      <c r="V106" s="122"/>
      <c r="W106" s="150"/>
      <c r="X106" s="131"/>
      <c r="Y106" s="132"/>
      <c r="Z106" s="132"/>
      <c r="AA106" s="151"/>
      <c r="AB106" s="152"/>
      <c r="AC106" s="122"/>
    </row>
    <row r="107" spans="14:29" x14ac:dyDescent="0.35">
      <c r="N107" s="44"/>
      <c r="O107" s="122"/>
      <c r="P107" s="122"/>
      <c r="Q107" s="122"/>
      <c r="R107" s="122"/>
      <c r="S107" s="122"/>
      <c r="T107" s="44"/>
      <c r="V107" s="122"/>
      <c r="W107" s="150"/>
      <c r="X107" s="131"/>
      <c r="Y107" s="132"/>
      <c r="Z107" s="132"/>
      <c r="AA107" s="151"/>
      <c r="AB107" s="152"/>
      <c r="AC107" s="122"/>
    </row>
    <row r="108" spans="14:29" x14ac:dyDescent="0.35">
      <c r="N108" s="44"/>
      <c r="O108" s="122"/>
      <c r="P108" s="122"/>
      <c r="Q108" s="122"/>
      <c r="R108" s="122"/>
      <c r="S108" s="122"/>
      <c r="T108" s="44"/>
      <c r="V108" s="122"/>
      <c r="W108" s="150"/>
      <c r="X108" s="131"/>
      <c r="Y108" s="132"/>
      <c r="Z108" s="132"/>
      <c r="AA108" s="151"/>
      <c r="AB108" s="152"/>
      <c r="AC108" s="122"/>
    </row>
    <row r="109" spans="14:29" x14ac:dyDescent="0.35">
      <c r="N109" s="44"/>
      <c r="O109" s="122"/>
      <c r="P109" s="122"/>
      <c r="Q109" s="122"/>
      <c r="R109" s="122"/>
      <c r="S109" s="122"/>
      <c r="T109" s="44"/>
      <c r="V109" s="122"/>
      <c r="W109" s="150"/>
      <c r="X109" s="131"/>
      <c r="Y109" s="132"/>
      <c r="Z109" s="132"/>
      <c r="AA109" s="151"/>
      <c r="AB109" s="152"/>
      <c r="AC109" s="122"/>
    </row>
    <row r="110" spans="14:29" x14ac:dyDescent="0.35">
      <c r="N110" s="44"/>
      <c r="O110" s="122"/>
      <c r="P110" s="122"/>
      <c r="Q110" s="122"/>
      <c r="R110" s="122"/>
      <c r="S110" s="122"/>
      <c r="T110" s="44"/>
      <c r="V110" s="122"/>
      <c r="W110" s="150"/>
      <c r="X110" s="131"/>
      <c r="Y110" s="132"/>
      <c r="Z110" s="132"/>
      <c r="AA110" s="151"/>
      <c r="AB110" s="152"/>
      <c r="AC110" s="122"/>
    </row>
    <row r="111" spans="14:29" x14ac:dyDescent="0.35">
      <c r="N111" s="44"/>
      <c r="O111" s="122"/>
      <c r="P111" s="122"/>
      <c r="Q111" s="122"/>
      <c r="R111" s="122"/>
      <c r="S111" s="122"/>
      <c r="T111" s="44"/>
      <c r="V111" s="122"/>
      <c r="W111" s="150"/>
      <c r="X111" s="131"/>
      <c r="Y111" s="132"/>
      <c r="Z111" s="132"/>
      <c r="AA111" s="151"/>
      <c r="AB111" s="152"/>
      <c r="AC111" s="122"/>
    </row>
    <row r="112" spans="14:29" x14ac:dyDescent="0.35">
      <c r="N112" s="44"/>
      <c r="O112" s="122"/>
      <c r="P112" s="122"/>
      <c r="Q112" s="122"/>
      <c r="R112" s="122"/>
      <c r="S112" s="122"/>
      <c r="T112" s="44"/>
      <c r="V112" s="122"/>
      <c r="W112" s="150"/>
      <c r="X112" s="131"/>
      <c r="Y112" s="132"/>
      <c r="Z112" s="132"/>
      <c r="AA112" s="151"/>
      <c r="AB112" s="152"/>
      <c r="AC112" s="122"/>
    </row>
    <row r="113" spans="13:29" x14ac:dyDescent="0.35">
      <c r="N113" s="44"/>
      <c r="O113" s="122"/>
      <c r="P113" s="122"/>
      <c r="Q113" s="122"/>
      <c r="R113" s="122"/>
      <c r="S113" s="122"/>
      <c r="T113" s="44"/>
      <c r="V113" s="122"/>
      <c r="W113" s="150"/>
      <c r="X113" s="131"/>
      <c r="Y113" s="132"/>
      <c r="Z113" s="132"/>
      <c r="AA113" s="151"/>
      <c r="AB113" s="152"/>
      <c r="AC113" s="122"/>
    </row>
    <row r="114" spans="13:29" x14ac:dyDescent="0.35">
      <c r="N114" s="44"/>
      <c r="O114" s="122"/>
      <c r="P114" s="122"/>
      <c r="Q114" s="122"/>
      <c r="R114" s="122"/>
      <c r="S114" s="122"/>
      <c r="T114" s="44"/>
      <c r="V114" s="122"/>
      <c r="W114" s="150"/>
      <c r="X114" s="131"/>
      <c r="Y114" s="132"/>
      <c r="Z114" s="132"/>
      <c r="AA114" s="151"/>
      <c r="AB114" s="152"/>
      <c r="AC114" s="122"/>
    </row>
    <row r="115" spans="13:29" x14ac:dyDescent="0.35">
      <c r="N115" s="44"/>
      <c r="O115" s="122"/>
      <c r="P115" s="122"/>
      <c r="Q115" s="122"/>
      <c r="R115" s="122"/>
      <c r="S115" s="122"/>
      <c r="T115" s="44"/>
      <c r="V115" s="122"/>
      <c r="W115" s="150"/>
      <c r="X115" s="131"/>
      <c r="Y115" s="132"/>
      <c r="Z115" s="132"/>
      <c r="AA115" s="151"/>
      <c r="AB115" s="152"/>
      <c r="AC115" s="122"/>
    </row>
    <row r="116" spans="13:29" x14ac:dyDescent="0.35">
      <c r="N116" s="44"/>
      <c r="O116" s="122"/>
      <c r="P116" s="122"/>
      <c r="Q116" s="122"/>
      <c r="R116" s="122"/>
      <c r="S116" s="122"/>
      <c r="T116" s="44"/>
      <c r="V116" s="122"/>
      <c r="W116" s="150"/>
      <c r="X116" s="131"/>
      <c r="Y116" s="132"/>
      <c r="Z116" s="132"/>
      <c r="AA116" s="151"/>
      <c r="AB116" s="152"/>
      <c r="AC116" s="122"/>
    </row>
    <row r="117" spans="13:29" x14ac:dyDescent="0.35">
      <c r="N117" s="44"/>
      <c r="O117" s="122"/>
      <c r="P117" s="122"/>
      <c r="Q117" s="122"/>
      <c r="R117" s="122"/>
      <c r="S117" s="122"/>
      <c r="T117" s="44"/>
      <c r="V117" s="122"/>
      <c r="W117" s="150"/>
      <c r="X117" s="131"/>
      <c r="Y117" s="132"/>
      <c r="Z117" s="132"/>
      <c r="AA117" s="151"/>
      <c r="AB117" s="152"/>
      <c r="AC117" s="122"/>
    </row>
    <row r="118" spans="13:29" x14ac:dyDescent="0.35">
      <c r="N118" s="44"/>
      <c r="O118" s="122"/>
      <c r="P118" s="122"/>
      <c r="Q118" s="122"/>
      <c r="R118" s="122"/>
      <c r="S118" s="122"/>
      <c r="T118" s="44"/>
      <c r="V118" s="122"/>
      <c r="W118" s="150"/>
      <c r="X118" s="131"/>
      <c r="Y118" s="132"/>
      <c r="Z118" s="132"/>
      <c r="AA118" s="151"/>
      <c r="AB118" s="152"/>
      <c r="AC118" s="122"/>
    </row>
    <row r="119" spans="13:29" x14ac:dyDescent="0.35">
      <c r="N119" s="44"/>
      <c r="O119" s="122"/>
      <c r="P119" s="122"/>
      <c r="Q119" s="122"/>
      <c r="R119" s="122"/>
      <c r="S119" s="122"/>
      <c r="T119" s="44"/>
      <c r="V119" s="122"/>
      <c r="W119" s="150"/>
      <c r="X119" s="131"/>
      <c r="Y119" s="132"/>
      <c r="Z119" s="132"/>
      <c r="AA119" s="151"/>
      <c r="AB119" s="152"/>
      <c r="AC119" s="122"/>
    </row>
    <row r="120" spans="13:29" x14ac:dyDescent="0.35">
      <c r="N120" s="44"/>
      <c r="O120" s="122"/>
      <c r="P120" s="122"/>
      <c r="Q120" s="122"/>
      <c r="R120" s="122"/>
      <c r="S120" s="122"/>
      <c r="T120" s="44"/>
      <c r="V120" s="122"/>
      <c r="W120" s="150"/>
      <c r="X120" s="131"/>
      <c r="Y120" s="132"/>
      <c r="Z120" s="132"/>
      <c r="AA120" s="151"/>
      <c r="AB120" s="152"/>
      <c r="AC120" s="122"/>
    </row>
    <row r="121" spans="13:29" x14ac:dyDescent="0.35">
      <c r="N121" s="44"/>
      <c r="O121" s="122"/>
      <c r="P121" s="122"/>
      <c r="Q121" s="122"/>
      <c r="R121" s="122"/>
      <c r="S121" s="122"/>
      <c r="T121" s="44"/>
      <c r="V121" s="122"/>
      <c r="W121" s="150"/>
      <c r="X121" s="131"/>
      <c r="Y121" s="132"/>
      <c r="Z121" s="132"/>
      <c r="AA121" s="151"/>
      <c r="AB121" s="152"/>
      <c r="AC121" s="122"/>
    </row>
    <row r="122" spans="13:29" x14ac:dyDescent="0.35">
      <c r="N122" s="44"/>
      <c r="O122" s="122"/>
      <c r="P122" s="122"/>
      <c r="Q122" s="122"/>
      <c r="R122" s="122"/>
      <c r="S122" s="122"/>
      <c r="T122" s="44"/>
      <c r="V122" s="122"/>
      <c r="W122" s="150"/>
      <c r="X122" s="131"/>
      <c r="Y122" s="132"/>
      <c r="Z122" s="132"/>
      <c r="AA122" s="151"/>
      <c r="AB122" s="152"/>
      <c r="AC122" s="122"/>
    </row>
    <row r="123" spans="13:29" x14ac:dyDescent="0.35">
      <c r="N123" s="44"/>
      <c r="O123" s="122"/>
      <c r="P123" s="122"/>
      <c r="Q123" s="122"/>
      <c r="R123" s="122"/>
      <c r="S123" s="122"/>
      <c r="T123" s="44"/>
      <c r="V123" s="122"/>
      <c r="W123" s="150"/>
      <c r="X123" s="131"/>
      <c r="Y123" s="132"/>
      <c r="Z123" s="132"/>
      <c r="AA123" s="151"/>
      <c r="AB123" s="152"/>
      <c r="AC123" s="122"/>
    </row>
    <row r="124" spans="13:29" x14ac:dyDescent="0.35">
      <c r="N124" s="44"/>
      <c r="O124" s="130"/>
      <c r="P124" s="122"/>
      <c r="Q124" s="122"/>
      <c r="R124" s="122"/>
      <c r="S124" s="122"/>
      <c r="V124" s="122"/>
      <c r="W124" s="150"/>
      <c r="X124" s="131"/>
      <c r="Y124" s="130"/>
      <c r="Z124" s="130"/>
      <c r="AA124" s="152"/>
      <c r="AB124" s="154"/>
      <c r="AC124" s="122"/>
    </row>
    <row r="125" spans="13:29" x14ac:dyDescent="0.35">
      <c r="M125" s="133"/>
      <c r="O125" s="122"/>
      <c r="P125" s="122"/>
      <c r="Q125" s="122"/>
      <c r="R125" s="122"/>
      <c r="S125" s="122"/>
      <c r="V125" s="122"/>
      <c r="W125" s="122"/>
      <c r="X125" s="122"/>
      <c r="Y125" s="122"/>
      <c r="Z125" s="122"/>
      <c r="AA125" s="122"/>
      <c r="AB125" s="122"/>
      <c r="AC125" s="122"/>
    </row>
    <row r="126" spans="13:29" x14ac:dyDescent="0.35">
      <c r="O126" s="122"/>
      <c r="P126" s="122"/>
      <c r="Q126" s="122"/>
      <c r="R126" s="122"/>
      <c r="S126" s="122"/>
      <c r="V126" s="122"/>
      <c r="W126" s="122"/>
      <c r="X126" s="122"/>
      <c r="Y126" s="122"/>
      <c r="Z126" s="122"/>
      <c r="AA126" s="122"/>
      <c r="AB126" s="122"/>
      <c r="AC126" s="122"/>
    </row>
    <row r="127" spans="13:29" x14ac:dyDescent="0.35">
      <c r="O127" s="122"/>
      <c r="P127" s="122"/>
      <c r="Q127" s="122"/>
      <c r="R127" s="122"/>
      <c r="S127" s="122"/>
      <c r="V127" s="122"/>
      <c r="W127" s="122"/>
      <c r="X127" s="122"/>
      <c r="Y127" s="122"/>
      <c r="Z127" s="122"/>
      <c r="AA127" s="122"/>
      <c r="AB127" s="122"/>
      <c r="AC127" s="122"/>
    </row>
    <row r="128" spans="13:29" x14ac:dyDescent="0.35">
      <c r="O128" s="122"/>
      <c r="P128" s="122"/>
      <c r="Q128" s="122"/>
      <c r="R128" s="122"/>
      <c r="S128" s="122"/>
    </row>
    <row r="129" spans="14:14" x14ac:dyDescent="0.35">
      <c r="N129" s="44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M227"/>
  <sheetViews>
    <sheetView zoomScale="70" zoomScaleNormal="70" workbookViewId="0"/>
  </sheetViews>
  <sheetFormatPr defaultColWidth="8.4140625" defaultRowHeight="15.5" x14ac:dyDescent="0.35"/>
  <cols>
    <col min="1" max="1" width="22.6640625" style="3" customWidth="1"/>
    <col min="2" max="2" width="20.6640625" style="3" customWidth="1"/>
    <col min="3" max="3" width="20.5" style="3" customWidth="1"/>
    <col min="4" max="4" width="38.9140625" style="3" customWidth="1"/>
    <col min="5" max="5" width="36.1640625" style="3" customWidth="1"/>
    <col min="6" max="6" width="35.9140625" style="3" customWidth="1"/>
    <col min="7" max="7" width="36.6640625" style="3" customWidth="1"/>
    <col min="8" max="8" width="32.4140625" style="3" customWidth="1"/>
    <col min="9" max="9" width="30.4140625" style="3" customWidth="1"/>
    <col min="10" max="10" width="21.6640625" style="3" customWidth="1"/>
    <col min="11" max="11" width="37.83203125" style="3" customWidth="1"/>
    <col min="12" max="12" width="25.5" style="3" customWidth="1"/>
    <col min="13" max="13" width="40.9140625" style="3" customWidth="1"/>
    <col min="14" max="14" width="37.4140625" style="3" customWidth="1"/>
    <col min="15" max="15" width="38.33203125" style="3" customWidth="1"/>
    <col min="16" max="16" width="18.58203125" style="3" customWidth="1"/>
    <col min="17" max="17" width="17.4140625" style="3" customWidth="1"/>
    <col min="18" max="18" width="16.5" style="3" bestFit="1" customWidth="1"/>
    <col min="19" max="19" width="17.33203125" style="3" customWidth="1"/>
    <col min="20" max="20" width="18.83203125" style="3" bestFit="1" customWidth="1"/>
    <col min="21" max="21" width="14.6640625" style="3" customWidth="1"/>
    <col min="22" max="22" width="16.08203125" style="9" customWidth="1"/>
    <col min="23" max="23" width="10.33203125" style="9" customWidth="1"/>
    <col min="24" max="24" width="13.08203125" style="9" customWidth="1"/>
    <col min="25" max="25" width="13.9140625" style="9" customWidth="1"/>
    <col min="26" max="27" width="11.9140625" style="9" customWidth="1"/>
    <col min="28" max="28" width="11.1640625" style="9" customWidth="1"/>
    <col min="29" max="29" width="10.6640625" style="9" customWidth="1"/>
    <col min="30" max="30" width="11" style="9" customWidth="1"/>
    <col min="31" max="31" width="6.1640625" style="9" customWidth="1"/>
    <col min="32" max="32" width="10.5" style="9" customWidth="1"/>
    <col min="33" max="33" width="12.4140625" style="9" bestFit="1" customWidth="1"/>
    <col min="34" max="34" width="11.6640625" style="9" customWidth="1"/>
    <col min="35" max="35" width="9.58203125" style="3" customWidth="1"/>
    <col min="36" max="36" width="6.4140625" style="3" bestFit="1" customWidth="1"/>
    <col min="37" max="37" width="8.4140625" style="3"/>
    <col min="38" max="38" width="14.83203125" style="3" bestFit="1" customWidth="1"/>
    <col min="39" max="39" width="9.9140625" style="3" bestFit="1" customWidth="1"/>
    <col min="40" max="40" width="10.6640625" style="3" bestFit="1" customWidth="1"/>
    <col min="41" max="41" width="12.83203125" style="3" bestFit="1" customWidth="1"/>
    <col min="42" max="42" width="11.9140625" style="3" bestFit="1" customWidth="1"/>
    <col min="43" max="43" width="11.5" style="3" bestFit="1" customWidth="1"/>
    <col min="44" max="44" width="11.4140625" style="3" bestFit="1" customWidth="1"/>
    <col min="45" max="45" width="8.6640625" style="3" bestFit="1" customWidth="1"/>
    <col min="46" max="46" width="11.6640625" style="3" bestFit="1" customWidth="1"/>
    <col min="47" max="47" width="12.58203125" style="3" bestFit="1" customWidth="1"/>
    <col min="48" max="48" width="10.6640625" style="3" bestFit="1" customWidth="1"/>
    <col min="49" max="16384" width="8.4140625" style="3"/>
  </cols>
  <sheetData>
    <row r="1" spans="1:21" ht="18" x14ac:dyDescent="0.4">
      <c r="A1" s="257" t="s">
        <v>415</v>
      </c>
    </row>
    <row r="2" spans="1:21" x14ac:dyDescent="0.35">
      <c r="A2" s="3" t="str">
        <f>Info!A2</f>
        <v>Finansministeriet/Kommun- och regionförvaltningsavdelningen 8.12.2020</v>
      </c>
    </row>
    <row r="3" spans="1:21" x14ac:dyDescent="0.35">
      <c r="A3" s="3" t="s">
        <v>416</v>
      </c>
    </row>
    <row r="4" spans="1:21" x14ac:dyDescent="0.35">
      <c r="A4" s="479" t="s">
        <v>803</v>
      </c>
    </row>
    <row r="5" spans="1:21" x14ac:dyDescent="0.35">
      <c r="A5" s="479" t="s">
        <v>804</v>
      </c>
    </row>
    <row r="6" spans="1:21" x14ac:dyDescent="0.35">
      <c r="A6" s="480" t="s">
        <v>805</v>
      </c>
    </row>
    <row r="7" spans="1:21" s="9" customFormat="1" x14ac:dyDescent="0.35">
      <c r="K7" s="155"/>
      <c r="P7" s="155"/>
    </row>
    <row r="8" spans="1:21" x14ac:dyDescent="0.35">
      <c r="A8" s="17" t="s">
        <v>417</v>
      </c>
      <c r="B8" s="23"/>
      <c r="C8" s="23"/>
      <c r="D8" s="156"/>
      <c r="E8" s="157"/>
      <c r="F8" s="156"/>
      <c r="G8" s="156"/>
      <c r="H8" s="23"/>
      <c r="I8" s="23"/>
      <c r="J8" s="23"/>
      <c r="K8" s="23"/>
      <c r="L8" s="23"/>
      <c r="M8" s="23"/>
      <c r="N8" s="9"/>
      <c r="O8" s="9"/>
      <c r="P8" s="155"/>
      <c r="Q8" s="9"/>
    </row>
    <row r="9" spans="1:21" ht="68" customHeight="1" x14ac:dyDescent="0.35">
      <c r="A9" s="262" t="s">
        <v>22</v>
      </c>
      <c r="B9" s="262" t="s">
        <v>34</v>
      </c>
      <c r="C9" s="262" t="s">
        <v>388</v>
      </c>
      <c r="D9" s="263" t="s">
        <v>418</v>
      </c>
      <c r="E9" s="264" t="s">
        <v>419</v>
      </c>
      <c r="F9" s="263" t="s">
        <v>420</v>
      </c>
      <c r="G9" s="265" t="s">
        <v>421</v>
      </c>
      <c r="H9" s="264" t="s">
        <v>422</v>
      </c>
      <c r="I9" s="265" t="s">
        <v>423</v>
      </c>
      <c r="J9" s="263" t="s">
        <v>424</v>
      </c>
      <c r="K9" s="265" t="s">
        <v>425</v>
      </c>
      <c r="L9" s="264" t="s">
        <v>426</v>
      </c>
      <c r="M9" s="265" t="s">
        <v>427</v>
      </c>
    </row>
    <row r="10" spans="1:21" x14ac:dyDescent="0.35">
      <c r="A10" s="99">
        <v>31</v>
      </c>
      <c r="B10" s="100" t="s">
        <v>37</v>
      </c>
      <c r="C10" s="158">
        <f>Bestämningsfaktorer!C4</f>
        <v>648042</v>
      </c>
      <c r="D10" s="40">
        <f t="shared" ref="D10:D31" si="0">D64+D37</f>
        <v>2100658012.632374</v>
      </c>
      <c r="E10" s="40">
        <f t="shared" ref="E10:E32" si="1">D10/C10</f>
        <v>3241.5460921242357</v>
      </c>
      <c r="F10" s="65">
        <f t="shared" ref="F10:F31" si="2">N91</f>
        <v>2061614278.193794</v>
      </c>
      <c r="G10" s="65">
        <f>F10-D10</f>
        <v>-39043734.438580036</v>
      </c>
      <c r="H10" s="159">
        <f t="shared" ref="H10:H31" si="3">F10/C10</f>
        <v>3181.2973205344624</v>
      </c>
      <c r="I10" s="160">
        <f t="shared" ref="I10:I31" si="4">H10-E10</f>
        <v>-60.248771589773241</v>
      </c>
      <c r="J10" s="40">
        <f t="shared" ref="J10:J31" si="5">N147</f>
        <v>2060384292.3906343</v>
      </c>
      <c r="K10" s="65">
        <f t="shared" ref="K10:K32" si="6">J10-D10</f>
        <v>-40273720.24173975</v>
      </c>
      <c r="L10" s="65">
        <f>J10/C10</f>
        <v>3179.3993173137455</v>
      </c>
      <c r="M10" s="160">
        <f>L10-E10</f>
        <v>-62.146774810490115</v>
      </c>
      <c r="T10" s="117"/>
      <c r="U10" s="161"/>
    </row>
    <row r="11" spans="1:21" x14ac:dyDescent="0.35">
      <c r="A11" s="99">
        <v>32</v>
      </c>
      <c r="B11" s="100" t="s">
        <v>39</v>
      </c>
      <c r="C11" s="158">
        <f>Bestämningsfaktorer!C5</f>
        <v>264420</v>
      </c>
      <c r="D11" s="40">
        <f t="shared" si="0"/>
        <v>802112801.48670542</v>
      </c>
      <c r="E11" s="40">
        <f t="shared" si="1"/>
        <v>3033.4800752087795</v>
      </c>
      <c r="F11" s="65">
        <f t="shared" si="2"/>
        <v>814960114.42580402</v>
      </c>
      <c r="G11" s="65">
        <f t="shared" ref="G11:G32" si="7">F11-D11</f>
        <v>12847312.939098597</v>
      </c>
      <c r="H11" s="159">
        <f t="shared" si="3"/>
        <v>3082.0668422426593</v>
      </c>
      <c r="I11" s="160">
        <f t="shared" si="4"/>
        <v>48.586767033879823</v>
      </c>
      <c r="J11" s="40">
        <f t="shared" si="5"/>
        <v>813548652.34759855</v>
      </c>
      <c r="K11" s="65">
        <f t="shared" si="6"/>
        <v>11435850.86089313</v>
      </c>
      <c r="L11" s="65">
        <f t="shared" ref="L11:L32" si="8">J11/C11</f>
        <v>3076.7288871779688</v>
      </c>
      <c r="M11" s="160">
        <f t="shared" ref="M11:M32" si="9">L11-E11</f>
        <v>43.248811969189319</v>
      </c>
      <c r="T11" s="117"/>
      <c r="U11" s="161"/>
    </row>
    <row r="12" spans="1:21" x14ac:dyDescent="0.35">
      <c r="A12" s="99">
        <v>33</v>
      </c>
      <c r="B12" s="100" t="s">
        <v>41</v>
      </c>
      <c r="C12" s="158">
        <f>Bestämningsfaktorer!C6</f>
        <v>464302</v>
      </c>
      <c r="D12" s="40">
        <f t="shared" si="0"/>
        <v>1445215898.6331346</v>
      </c>
      <c r="E12" s="40">
        <f t="shared" si="1"/>
        <v>3112.6635220893613</v>
      </c>
      <c r="F12" s="65">
        <f t="shared" si="2"/>
        <v>1397622551.6228626</v>
      </c>
      <c r="G12" s="65">
        <f t="shared" si="7"/>
        <v>-47593347.010272026</v>
      </c>
      <c r="H12" s="159">
        <f t="shared" si="3"/>
        <v>3010.1583702479475</v>
      </c>
      <c r="I12" s="160">
        <f t="shared" si="4"/>
        <v>-102.50515184141386</v>
      </c>
      <c r="J12" s="40">
        <f t="shared" si="5"/>
        <v>1398452504.5339043</v>
      </c>
      <c r="K12" s="65">
        <f t="shared" si="6"/>
        <v>-46763394.099230289</v>
      </c>
      <c r="L12" s="65">
        <f t="shared" si="8"/>
        <v>3011.9458984322796</v>
      </c>
      <c r="M12" s="160">
        <f t="shared" si="9"/>
        <v>-100.71762365708173</v>
      </c>
      <c r="T12" s="117"/>
      <c r="U12" s="161"/>
    </row>
    <row r="13" spans="1:21" x14ac:dyDescent="0.35">
      <c r="A13" s="99">
        <v>34</v>
      </c>
      <c r="B13" s="100" t="s">
        <v>43</v>
      </c>
      <c r="C13" s="158">
        <f>Bestämningsfaktorer!C7</f>
        <v>97263</v>
      </c>
      <c r="D13" s="40">
        <f t="shared" si="0"/>
        <v>319181836.87353122</v>
      </c>
      <c r="E13" s="40">
        <f t="shared" si="1"/>
        <v>3281.636767049456</v>
      </c>
      <c r="F13" s="65">
        <f t="shared" si="2"/>
        <v>336400861.28254163</v>
      </c>
      <c r="G13" s="65">
        <f t="shared" si="7"/>
        <v>17219024.40901041</v>
      </c>
      <c r="H13" s="159">
        <f t="shared" si="3"/>
        <v>3458.6724785637048</v>
      </c>
      <c r="I13" s="160">
        <f t="shared" si="4"/>
        <v>177.03571151424876</v>
      </c>
      <c r="J13" s="40">
        <f t="shared" si="5"/>
        <v>335959243.8498323</v>
      </c>
      <c r="K13" s="65">
        <f t="shared" si="6"/>
        <v>16777406.976301074</v>
      </c>
      <c r="L13" s="65">
        <f t="shared" si="8"/>
        <v>3454.1320322201896</v>
      </c>
      <c r="M13" s="160">
        <f t="shared" si="9"/>
        <v>172.49526517073355</v>
      </c>
      <c r="T13" s="117"/>
      <c r="U13" s="161"/>
    </row>
    <row r="14" spans="1:21" s="8" customFormat="1" x14ac:dyDescent="0.35">
      <c r="A14" s="162">
        <v>35</v>
      </c>
      <c r="B14" s="103" t="s">
        <v>45</v>
      </c>
      <c r="C14" s="163">
        <f>Bestämningsfaktorer!C8</f>
        <v>196997</v>
      </c>
      <c r="D14" s="45">
        <f t="shared" si="0"/>
        <v>661684911.39505982</v>
      </c>
      <c r="E14" s="45">
        <f t="shared" si="1"/>
        <v>3358.8578069466025</v>
      </c>
      <c r="F14" s="164">
        <f t="shared" si="2"/>
        <v>619689302.40055168</v>
      </c>
      <c r="G14" s="164">
        <f t="shared" si="7"/>
        <v>-41995608.994508147</v>
      </c>
      <c r="H14" s="165">
        <f t="shared" si="3"/>
        <v>3145.6788803918421</v>
      </c>
      <c r="I14" s="166">
        <f t="shared" si="4"/>
        <v>-213.17892655476044</v>
      </c>
      <c r="J14" s="45">
        <f t="shared" si="5"/>
        <v>619179646.69883668</v>
      </c>
      <c r="K14" s="164">
        <f t="shared" si="6"/>
        <v>-42505264.69622314</v>
      </c>
      <c r="L14" s="65">
        <f t="shared" si="8"/>
        <v>3143.0917562137324</v>
      </c>
      <c r="M14" s="166">
        <f t="shared" si="9"/>
        <v>-215.7660507328701</v>
      </c>
      <c r="T14" s="167"/>
      <c r="U14" s="168"/>
    </row>
    <row r="15" spans="1:21" x14ac:dyDescent="0.35">
      <c r="A15" s="3">
        <v>2</v>
      </c>
      <c r="B15" s="16" t="s">
        <v>47</v>
      </c>
      <c r="C15" s="158">
        <f>Bestämningsfaktorer!C9</f>
        <v>478582</v>
      </c>
      <c r="D15" s="40">
        <f t="shared" si="0"/>
        <v>1748366231.0011101</v>
      </c>
      <c r="E15" s="40">
        <f t="shared" si="1"/>
        <v>3653.2218742056953</v>
      </c>
      <c r="F15" s="65">
        <f t="shared" si="2"/>
        <v>1779987841.9085619</v>
      </c>
      <c r="G15" s="65">
        <f t="shared" si="7"/>
        <v>31621610.907451868</v>
      </c>
      <c r="H15" s="159">
        <f t="shared" si="3"/>
        <v>3719.2954225369153</v>
      </c>
      <c r="I15" s="160">
        <f t="shared" si="4"/>
        <v>66.073548331220081</v>
      </c>
      <c r="J15" s="40">
        <f t="shared" si="5"/>
        <v>1781759640.3363769</v>
      </c>
      <c r="K15" s="65">
        <f t="shared" si="6"/>
        <v>33393409.335266829</v>
      </c>
      <c r="L15" s="65">
        <f t="shared" si="8"/>
        <v>3722.9976061288908</v>
      </c>
      <c r="M15" s="160">
        <f t="shared" si="9"/>
        <v>69.775731923195508</v>
      </c>
      <c r="T15" s="117"/>
      <c r="U15" s="161"/>
    </row>
    <row r="16" spans="1:21" x14ac:dyDescent="0.35">
      <c r="A16" s="3">
        <v>4</v>
      </c>
      <c r="B16" s="16" t="s">
        <v>49</v>
      </c>
      <c r="C16" s="158">
        <f>Bestämningsfaktorer!C10</f>
        <v>218624</v>
      </c>
      <c r="D16" s="40">
        <f t="shared" si="0"/>
        <v>848888235.2238462</v>
      </c>
      <c r="E16" s="40">
        <f t="shared" si="1"/>
        <v>3882.8684646875286</v>
      </c>
      <c r="F16" s="65">
        <f t="shared" si="2"/>
        <v>845334820.33566487</v>
      </c>
      <c r="G16" s="65">
        <f t="shared" si="7"/>
        <v>-3553414.8881813288</v>
      </c>
      <c r="H16" s="159">
        <f t="shared" si="3"/>
        <v>3866.6149202999895</v>
      </c>
      <c r="I16" s="160">
        <f t="shared" si="4"/>
        <v>-16.253544387539023</v>
      </c>
      <c r="J16" s="40">
        <f t="shared" si="5"/>
        <v>842065108.93146753</v>
      </c>
      <c r="K16" s="65">
        <f t="shared" si="6"/>
        <v>-6823126.292378664</v>
      </c>
      <c r="L16" s="65">
        <f t="shared" si="8"/>
        <v>3851.6590535872892</v>
      </c>
      <c r="M16" s="160">
        <f t="shared" si="9"/>
        <v>-31.209411100239322</v>
      </c>
      <c r="T16" s="117"/>
      <c r="U16" s="161"/>
    </row>
    <row r="17" spans="1:65" x14ac:dyDescent="0.35">
      <c r="A17" s="3">
        <v>5</v>
      </c>
      <c r="B17" s="16" t="s">
        <v>51</v>
      </c>
      <c r="C17" s="158">
        <f>Bestämningsfaktorer!C11</f>
        <v>171364</v>
      </c>
      <c r="D17" s="40">
        <f t="shared" si="0"/>
        <v>623755937.56357765</v>
      </c>
      <c r="E17" s="40">
        <f t="shared" si="1"/>
        <v>3639.947349289102</v>
      </c>
      <c r="F17" s="65">
        <f t="shared" si="2"/>
        <v>637549395.90494812</v>
      </c>
      <c r="G17" s="65">
        <f t="shared" si="7"/>
        <v>13793458.341370463</v>
      </c>
      <c r="H17" s="159">
        <f t="shared" si="3"/>
        <v>3720.4395083270006</v>
      </c>
      <c r="I17" s="160">
        <f t="shared" si="4"/>
        <v>80.492159037898546</v>
      </c>
      <c r="J17" s="40">
        <f t="shared" si="5"/>
        <v>638126125.55228448</v>
      </c>
      <c r="K17" s="65">
        <f t="shared" si="6"/>
        <v>14370187.988706827</v>
      </c>
      <c r="L17" s="65">
        <f t="shared" si="8"/>
        <v>3723.8050322838199</v>
      </c>
      <c r="M17" s="160">
        <f t="shared" si="9"/>
        <v>83.857682994717834</v>
      </c>
      <c r="T17" s="117"/>
      <c r="U17" s="161"/>
    </row>
    <row r="18" spans="1:65" x14ac:dyDescent="0.35">
      <c r="A18" s="3">
        <v>6</v>
      </c>
      <c r="B18" s="16" t="s">
        <v>53</v>
      </c>
      <c r="C18" s="158">
        <f>Bestämningsfaktorer!C12</f>
        <v>517333</v>
      </c>
      <c r="D18" s="40">
        <f t="shared" si="0"/>
        <v>1819691832.0967524</v>
      </c>
      <c r="E18" s="40">
        <f t="shared" si="1"/>
        <v>3517.4478181302034</v>
      </c>
      <c r="F18" s="65">
        <f t="shared" si="2"/>
        <v>1834324762.3753176</v>
      </c>
      <c r="G18" s="65">
        <f t="shared" si="7"/>
        <v>14632930.278565168</v>
      </c>
      <c r="H18" s="159">
        <f t="shared" si="3"/>
        <v>3545.7331397287967</v>
      </c>
      <c r="I18" s="160">
        <f t="shared" si="4"/>
        <v>28.285321598593328</v>
      </c>
      <c r="J18" s="40">
        <f t="shared" si="5"/>
        <v>1835732259.314394</v>
      </c>
      <c r="K18" s="65">
        <f t="shared" si="6"/>
        <v>16040427.217641592</v>
      </c>
      <c r="L18" s="65">
        <f t="shared" si="8"/>
        <v>3548.4538185547685</v>
      </c>
      <c r="M18" s="160">
        <f t="shared" si="9"/>
        <v>31.006000424565173</v>
      </c>
      <c r="T18" s="117"/>
      <c r="U18" s="161"/>
    </row>
    <row r="19" spans="1:65" x14ac:dyDescent="0.35">
      <c r="A19" s="3">
        <v>7</v>
      </c>
      <c r="B19" s="16" t="s">
        <v>55</v>
      </c>
      <c r="C19" s="158">
        <f>Bestämningsfaktorer!C13</f>
        <v>207394</v>
      </c>
      <c r="D19" s="40">
        <f t="shared" si="0"/>
        <v>759286097.69413257</v>
      </c>
      <c r="E19" s="40">
        <f t="shared" si="1"/>
        <v>3661.0803480049208</v>
      </c>
      <c r="F19" s="65">
        <f t="shared" si="2"/>
        <v>789738148.4014436</v>
      </c>
      <c r="G19" s="65">
        <f t="shared" si="7"/>
        <v>30452050.707311034</v>
      </c>
      <c r="H19" s="159">
        <f t="shared" si="3"/>
        <v>3807.9122269759182</v>
      </c>
      <c r="I19" s="160">
        <f t="shared" si="4"/>
        <v>146.83187897099742</v>
      </c>
      <c r="J19" s="40">
        <f t="shared" si="5"/>
        <v>791188527.44999123</v>
      </c>
      <c r="K19" s="65">
        <f t="shared" si="6"/>
        <v>31902429.75585866</v>
      </c>
      <c r="L19" s="65">
        <f t="shared" si="8"/>
        <v>3814.9055780301805</v>
      </c>
      <c r="M19" s="160">
        <f t="shared" si="9"/>
        <v>153.82523002525977</v>
      </c>
      <c r="T19" s="117"/>
      <c r="U19" s="161"/>
    </row>
    <row r="20" spans="1:65" x14ac:dyDescent="0.35">
      <c r="A20" s="3">
        <v>8</v>
      </c>
      <c r="B20" s="16" t="s">
        <v>57</v>
      </c>
      <c r="C20" s="158">
        <f>Bestämningsfaktorer!C14</f>
        <v>166623</v>
      </c>
      <c r="D20" s="40">
        <f t="shared" si="0"/>
        <v>696081406.3481909</v>
      </c>
      <c r="E20" s="40">
        <f t="shared" si="1"/>
        <v>4177.5829648259296</v>
      </c>
      <c r="F20" s="65">
        <f t="shared" si="2"/>
        <v>677773563.24551988</v>
      </c>
      <c r="G20" s="65">
        <f t="shared" si="7"/>
        <v>-18307843.102671027</v>
      </c>
      <c r="H20" s="159">
        <f t="shared" si="3"/>
        <v>4067.7071187382285</v>
      </c>
      <c r="I20" s="160">
        <f t="shared" si="4"/>
        <v>-109.87584608770112</v>
      </c>
      <c r="J20" s="40">
        <f t="shared" si="5"/>
        <v>677675250.54405916</v>
      </c>
      <c r="K20" s="65">
        <f t="shared" si="6"/>
        <v>-18406155.804131746</v>
      </c>
      <c r="L20" s="65">
        <f t="shared" si="8"/>
        <v>4067.1170879413958</v>
      </c>
      <c r="M20" s="160">
        <f t="shared" si="9"/>
        <v>-110.46587688453383</v>
      </c>
      <c r="T20" s="117"/>
      <c r="U20" s="161"/>
    </row>
    <row r="21" spans="1:65" x14ac:dyDescent="0.35">
      <c r="A21" s="3">
        <v>9</v>
      </c>
      <c r="B21" s="16" t="s">
        <v>59</v>
      </c>
      <c r="C21" s="158">
        <f>Bestämningsfaktorer!C15</f>
        <v>128756</v>
      </c>
      <c r="D21" s="40">
        <f t="shared" si="0"/>
        <v>486191942.45199692</v>
      </c>
      <c r="E21" s="40">
        <f t="shared" si="1"/>
        <v>3776.0721244213623</v>
      </c>
      <c r="F21" s="65">
        <f t="shared" si="2"/>
        <v>499313889.56505805</v>
      </c>
      <c r="G21" s="65">
        <f t="shared" si="7"/>
        <v>13121947.11306113</v>
      </c>
      <c r="H21" s="159">
        <f t="shared" si="3"/>
        <v>3877.9854108939239</v>
      </c>
      <c r="I21" s="160">
        <f t="shared" si="4"/>
        <v>101.91328647256159</v>
      </c>
      <c r="J21" s="40">
        <f t="shared" si="5"/>
        <v>499524893.79788399</v>
      </c>
      <c r="K21" s="65">
        <f t="shared" si="6"/>
        <v>13332951.345887065</v>
      </c>
      <c r="L21" s="65">
        <f t="shared" si="8"/>
        <v>3879.6242023508339</v>
      </c>
      <c r="M21" s="160">
        <f t="shared" si="9"/>
        <v>103.55207792947158</v>
      </c>
      <c r="T21" s="117"/>
      <c r="U21" s="161"/>
    </row>
    <row r="22" spans="1:65" s="9" customFormat="1" x14ac:dyDescent="0.35">
      <c r="A22" s="9">
        <v>10</v>
      </c>
      <c r="B22" s="155" t="s">
        <v>61</v>
      </c>
      <c r="C22" s="158">
        <f>Bestämningsfaktorer!C16</f>
        <v>136474</v>
      </c>
      <c r="D22" s="63">
        <f t="shared" si="0"/>
        <v>608453230.93811393</v>
      </c>
      <c r="E22" s="40">
        <f t="shared" si="1"/>
        <v>4458.3820430126907</v>
      </c>
      <c r="F22" s="169">
        <f t="shared" si="2"/>
        <v>594705480.72056377</v>
      </c>
      <c r="G22" s="169">
        <f t="shared" si="7"/>
        <v>-13747750.217550159</v>
      </c>
      <c r="H22" s="159">
        <f t="shared" si="3"/>
        <v>4357.6467365253729</v>
      </c>
      <c r="I22" s="170">
        <f t="shared" si="4"/>
        <v>-100.73530648731776</v>
      </c>
      <c r="J22" s="63">
        <f t="shared" si="5"/>
        <v>594719496.54418194</v>
      </c>
      <c r="K22" s="169">
        <f t="shared" si="6"/>
        <v>-13733734.393931985</v>
      </c>
      <c r="L22" s="65">
        <f t="shared" si="8"/>
        <v>4357.749436113706</v>
      </c>
      <c r="M22" s="160">
        <f t="shared" si="9"/>
        <v>-100.6326068989847</v>
      </c>
      <c r="T22" s="171"/>
      <c r="U22" s="161"/>
    </row>
    <row r="23" spans="1:65" s="9" customFormat="1" x14ac:dyDescent="0.35">
      <c r="A23" s="9">
        <v>11</v>
      </c>
      <c r="B23" s="155" t="s">
        <v>63</v>
      </c>
      <c r="C23" s="158">
        <f>Bestämningsfaktorer!C17</f>
        <v>250414</v>
      </c>
      <c r="D23" s="63">
        <f t="shared" si="0"/>
        <v>1023104800.6721396</v>
      </c>
      <c r="E23" s="40">
        <f t="shared" si="1"/>
        <v>4085.6533607232009</v>
      </c>
      <c r="F23" s="169">
        <f t="shared" si="2"/>
        <v>1010345257.07107</v>
      </c>
      <c r="G23" s="169">
        <f t="shared" si="7"/>
        <v>-12759543.601069689</v>
      </c>
      <c r="H23" s="159">
        <f t="shared" si="3"/>
        <v>4034.6995658033097</v>
      </c>
      <c r="I23" s="170">
        <f t="shared" si="4"/>
        <v>-50.953794919891152</v>
      </c>
      <c r="J23" s="63">
        <f t="shared" si="5"/>
        <v>1010084632.3828382</v>
      </c>
      <c r="K23" s="169">
        <f t="shared" si="6"/>
        <v>-13020168.289301395</v>
      </c>
      <c r="L23" s="65">
        <f t="shared" si="8"/>
        <v>4033.6587905741621</v>
      </c>
      <c r="M23" s="160">
        <f t="shared" si="9"/>
        <v>-51.994570149038736</v>
      </c>
      <c r="T23" s="171"/>
      <c r="U23" s="161"/>
    </row>
    <row r="24" spans="1:65" x14ac:dyDescent="0.35">
      <c r="A24" s="3">
        <v>12</v>
      </c>
      <c r="B24" s="16" t="s">
        <v>65</v>
      </c>
      <c r="C24" s="158">
        <f>Bestämningsfaktorer!C18</f>
        <v>165569</v>
      </c>
      <c r="D24" s="40">
        <f t="shared" si="0"/>
        <v>637120339.95948291</v>
      </c>
      <c r="E24" s="40">
        <f t="shared" si="1"/>
        <v>3848.0653984712289</v>
      </c>
      <c r="F24" s="65">
        <f t="shared" si="2"/>
        <v>696006015.21021652</v>
      </c>
      <c r="G24" s="65">
        <f t="shared" si="7"/>
        <v>58885675.250733614</v>
      </c>
      <c r="H24" s="159">
        <f t="shared" si="3"/>
        <v>4203.7218030562271</v>
      </c>
      <c r="I24" s="160">
        <f t="shared" si="4"/>
        <v>355.6564045849982</v>
      </c>
      <c r="J24" s="40">
        <f t="shared" si="5"/>
        <v>696607330.70358121</v>
      </c>
      <c r="K24" s="65">
        <f t="shared" si="6"/>
        <v>59486990.744098306</v>
      </c>
      <c r="L24" s="65">
        <f t="shared" si="8"/>
        <v>4207.353615130738</v>
      </c>
      <c r="M24" s="160">
        <f t="shared" si="9"/>
        <v>359.28821665950909</v>
      </c>
      <c r="T24" s="117"/>
      <c r="U24" s="161"/>
    </row>
    <row r="25" spans="1:65" x14ac:dyDescent="0.35">
      <c r="A25" s="3">
        <v>13</v>
      </c>
      <c r="B25" s="16" t="s">
        <v>67</v>
      </c>
      <c r="C25" s="158">
        <f>Bestämningsfaktorer!C19</f>
        <v>273283</v>
      </c>
      <c r="D25" s="40">
        <f t="shared" si="0"/>
        <v>974383968.66378939</v>
      </c>
      <c r="E25" s="40">
        <f t="shared" si="1"/>
        <v>3565.4759669053306</v>
      </c>
      <c r="F25" s="65">
        <f t="shared" si="2"/>
        <v>1009308501.5313184</v>
      </c>
      <c r="G25" s="65">
        <f t="shared" si="7"/>
        <v>34924532.867529035</v>
      </c>
      <c r="H25" s="159">
        <f t="shared" si="3"/>
        <v>3693.2721813333374</v>
      </c>
      <c r="I25" s="160">
        <f t="shared" si="4"/>
        <v>127.79621442800681</v>
      </c>
      <c r="J25" s="40">
        <f t="shared" si="5"/>
        <v>1010628084.1008916</v>
      </c>
      <c r="K25" s="65">
        <f t="shared" si="6"/>
        <v>36244115.437102199</v>
      </c>
      <c r="L25" s="65">
        <f t="shared" si="8"/>
        <v>3698.1008116161329</v>
      </c>
      <c r="M25" s="160">
        <f t="shared" si="9"/>
        <v>132.62484471080234</v>
      </c>
      <c r="T25" s="117"/>
      <c r="U25" s="161"/>
    </row>
    <row r="26" spans="1:65" x14ac:dyDescent="0.35">
      <c r="A26" s="3">
        <v>14</v>
      </c>
      <c r="B26" s="16" t="s">
        <v>69</v>
      </c>
      <c r="C26" s="158">
        <f>Bestämningsfaktorer!C20</f>
        <v>194316</v>
      </c>
      <c r="D26" s="40">
        <f t="shared" si="0"/>
        <v>775026529.93629229</v>
      </c>
      <c r="E26" s="40">
        <f t="shared" si="1"/>
        <v>3988.4854048883894</v>
      </c>
      <c r="F26" s="65">
        <f t="shared" si="2"/>
        <v>767218860.64326441</v>
      </c>
      <c r="G26" s="65">
        <f t="shared" si="7"/>
        <v>-7807669.2930278778</v>
      </c>
      <c r="H26" s="159">
        <f t="shared" si="3"/>
        <v>3948.3051351574982</v>
      </c>
      <c r="I26" s="160">
        <f t="shared" si="4"/>
        <v>-40.180269730891268</v>
      </c>
      <c r="J26" s="40">
        <f t="shared" si="5"/>
        <v>766767360.92607307</v>
      </c>
      <c r="K26" s="65">
        <f t="shared" si="6"/>
        <v>-8259169.0102192163</v>
      </c>
      <c r="L26" s="65">
        <f t="shared" si="8"/>
        <v>3945.9816017521616</v>
      </c>
      <c r="M26" s="160">
        <f t="shared" si="9"/>
        <v>-42.503803136227816</v>
      </c>
      <c r="T26" s="117"/>
      <c r="U26" s="161"/>
    </row>
    <row r="27" spans="1:65" x14ac:dyDescent="0.35">
      <c r="A27" s="3">
        <v>15</v>
      </c>
      <c r="B27" s="16" t="s">
        <v>71</v>
      </c>
      <c r="C27" s="158">
        <f>Bestämningsfaktorer!C21</f>
        <v>176193</v>
      </c>
      <c r="D27" s="40">
        <f t="shared" si="0"/>
        <v>660295248.95756221</v>
      </c>
      <c r="E27" s="40">
        <f t="shared" si="1"/>
        <v>3747.5680018931639</v>
      </c>
      <c r="F27" s="65">
        <f t="shared" si="2"/>
        <v>630983656.58130491</v>
      </c>
      <c r="G27" s="65">
        <f t="shared" si="7"/>
        <v>-29311592.3762573</v>
      </c>
      <c r="H27" s="159">
        <f t="shared" si="3"/>
        <v>3581.2072930326681</v>
      </c>
      <c r="I27" s="160">
        <f t="shared" si="4"/>
        <v>-166.36070886049583</v>
      </c>
      <c r="J27" s="40">
        <f t="shared" si="5"/>
        <v>631159251.32639253</v>
      </c>
      <c r="K27" s="65">
        <f t="shared" si="6"/>
        <v>-29135997.631169677</v>
      </c>
      <c r="L27" s="65">
        <f t="shared" si="8"/>
        <v>3582.2038975804517</v>
      </c>
      <c r="M27" s="160">
        <f t="shared" si="9"/>
        <v>-165.36410431271224</v>
      </c>
      <c r="T27" s="117"/>
      <c r="U27" s="161"/>
    </row>
    <row r="28" spans="1:65" x14ac:dyDescent="0.35">
      <c r="A28" s="3">
        <v>16</v>
      </c>
      <c r="B28" s="16" t="s">
        <v>73</v>
      </c>
      <c r="C28" s="158">
        <f>Bestämningsfaktorer!C22</f>
        <v>68437</v>
      </c>
      <c r="D28" s="40">
        <f t="shared" si="0"/>
        <v>265360297.1089825</v>
      </c>
      <c r="E28" s="40">
        <f t="shared" si="1"/>
        <v>3877.4390623344461</v>
      </c>
      <c r="F28" s="65">
        <f t="shared" si="2"/>
        <v>261415502.81481269</v>
      </c>
      <c r="G28" s="65">
        <f t="shared" si="7"/>
        <v>-3944794.2941698134</v>
      </c>
      <c r="H28" s="159">
        <f t="shared" si="3"/>
        <v>3819.7978113420036</v>
      </c>
      <c r="I28" s="160">
        <f t="shared" si="4"/>
        <v>-57.641250992442565</v>
      </c>
      <c r="J28" s="40">
        <f t="shared" si="5"/>
        <v>261080272.09577739</v>
      </c>
      <c r="K28" s="65">
        <f t="shared" si="6"/>
        <v>-4280025.013205111</v>
      </c>
      <c r="L28" s="65">
        <f t="shared" si="8"/>
        <v>3814.8994271487263</v>
      </c>
      <c r="M28" s="160">
        <f t="shared" si="9"/>
        <v>-62.539635185719817</v>
      </c>
      <c r="T28" s="117"/>
      <c r="U28" s="161"/>
    </row>
    <row r="29" spans="1:65" x14ac:dyDescent="0.35">
      <c r="A29" s="3">
        <v>17</v>
      </c>
      <c r="B29" s="16" t="s">
        <v>75</v>
      </c>
      <c r="C29" s="158">
        <f>Bestämningsfaktorer!C23</f>
        <v>412161</v>
      </c>
      <c r="D29" s="40">
        <f t="shared" si="0"/>
        <v>1485470764.1248934</v>
      </c>
      <c r="E29" s="40">
        <f t="shared" si="1"/>
        <v>3604.1031638725967</v>
      </c>
      <c r="F29" s="65">
        <f t="shared" si="2"/>
        <v>1476116027.1614656</v>
      </c>
      <c r="G29" s="65">
        <f t="shared" si="7"/>
        <v>-9354736.9634277821</v>
      </c>
      <c r="H29" s="159">
        <f t="shared" si="3"/>
        <v>3581.4063610129674</v>
      </c>
      <c r="I29" s="160">
        <f t="shared" si="4"/>
        <v>-22.696802859629315</v>
      </c>
      <c r="J29" s="40">
        <f t="shared" si="5"/>
        <v>1475867589.0438952</v>
      </c>
      <c r="K29" s="65">
        <f t="shared" si="6"/>
        <v>-9603175.0809981823</v>
      </c>
      <c r="L29" s="65">
        <f t="shared" si="8"/>
        <v>3580.8035914215448</v>
      </c>
      <c r="M29" s="160">
        <f t="shared" si="9"/>
        <v>-23.299572451051972</v>
      </c>
      <c r="T29" s="117"/>
      <c r="U29" s="161"/>
    </row>
    <row r="30" spans="1:65" x14ac:dyDescent="0.35">
      <c r="A30" s="3">
        <v>18</v>
      </c>
      <c r="B30" s="16" t="s">
        <v>77</v>
      </c>
      <c r="C30" s="158">
        <f>Bestämningsfaktorer!C24</f>
        <v>73061</v>
      </c>
      <c r="D30" s="40">
        <f t="shared" si="0"/>
        <v>337713737.93693793</v>
      </c>
      <c r="E30" s="40">
        <f t="shared" si="1"/>
        <v>4622.3530739647404</v>
      </c>
      <c r="F30" s="65">
        <f t="shared" si="2"/>
        <v>322965245.02853614</v>
      </c>
      <c r="G30" s="65">
        <f t="shared" si="7"/>
        <v>-14748492.908401787</v>
      </c>
      <c r="H30" s="159">
        <f t="shared" si="3"/>
        <v>4420.4876066374145</v>
      </c>
      <c r="I30" s="160">
        <f t="shared" si="4"/>
        <v>-201.86546732732586</v>
      </c>
      <c r="J30" s="40">
        <f t="shared" si="5"/>
        <v>322711904.349989</v>
      </c>
      <c r="K30" s="65">
        <f t="shared" si="6"/>
        <v>-15001833.586948931</v>
      </c>
      <c r="L30" s="65">
        <f t="shared" si="8"/>
        <v>4417.0200839023419</v>
      </c>
      <c r="M30" s="160">
        <f t="shared" si="9"/>
        <v>-205.33299006239849</v>
      </c>
      <c r="T30" s="117"/>
      <c r="U30" s="161"/>
    </row>
    <row r="31" spans="1:65" x14ac:dyDescent="0.35">
      <c r="A31" s="3">
        <v>19</v>
      </c>
      <c r="B31" s="16" t="s">
        <v>79</v>
      </c>
      <c r="C31" s="158">
        <f>Bestämningsfaktorer!C25</f>
        <v>178522</v>
      </c>
      <c r="D31" s="40">
        <f t="shared" si="0"/>
        <v>785250214.48139262</v>
      </c>
      <c r="E31" s="40">
        <f t="shared" si="1"/>
        <v>4398.6187387626878</v>
      </c>
      <c r="F31" s="65">
        <f t="shared" si="2"/>
        <v>799920199.75537884</v>
      </c>
      <c r="G31" s="65">
        <f t="shared" si="7"/>
        <v>14669985.27398622</v>
      </c>
      <c r="H31" s="159">
        <f t="shared" si="3"/>
        <v>4480.7934022438631</v>
      </c>
      <c r="I31" s="160">
        <f t="shared" si="4"/>
        <v>82.17466348117523</v>
      </c>
      <c r="J31" s="40">
        <f t="shared" si="5"/>
        <v>800072208.95911551</v>
      </c>
      <c r="K31" s="65">
        <f t="shared" si="6"/>
        <v>14821994.477722883</v>
      </c>
      <c r="L31" s="65">
        <f t="shared" si="8"/>
        <v>4481.6448894764535</v>
      </c>
      <c r="M31" s="160">
        <f t="shared" si="9"/>
        <v>83.026150713765674</v>
      </c>
      <c r="T31" s="117"/>
      <c r="U31" s="16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</row>
    <row r="32" spans="1:65" x14ac:dyDescent="0.35">
      <c r="A32" s="25"/>
      <c r="B32" s="16" t="s">
        <v>35</v>
      </c>
      <c r="C32" s="81">
        <f>SUM(C10:C31)</f>
        <v>5488130</v>
      </c>
      <c r="D32" s="81">
        <f>SUM(D10:D31)</f>
        <v>19863294276.18</v>
      </c>
      <c r="E32" s="81">
        <f t="shared" si="1"/>
        <v>3619.3191991042486</v>
      </c>
      <c r="F32" s="81">
        <f>SUM(F10:F31)</f>
        <v>19863294276.18</v>
      </c>
      <c r="G32" s="160">
        <f t="shared" si="7"/>
        <v>0</v>
      </c>
      <c r="H32" s="172">
        <f t="shared" ref="H32" si="10">F32/C32</f>
        <v>3619.3191991042486</v>
      </c>
      <c r="I32" s="160">
        <f t="shared" ref="I32" si="11">H32-E32</f>
        <v>0</v>
      </c>
      <c r="J32" s="81">
        <f>SUM(J10:J31)</f>
        <v>19863294276.179996</v>
      </c>
      <c r="K32" s="160">
        <f t="shared" si="6"/>
        <v>0</v>
      </c>
      <c r="L32" s="160">
        <f t="shared" si="8"/>
        <v>3619.3191991042481</v>
      </c>
      <c r="M32" s="160">
        <f t="shared" si="9"/>
        <v>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</row>
    <row r="33" spans="1:65" x14ac:dyDescent="0.35">
      <c r="A33" s="25"/>
      <c r="B33" s="76"/>
      <c r="C33" s="76"/>
      <c r="D33" s="173"/>
      <c r="F33" s="173"/>
      <c r="O33" s="65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</row>
    <row r="34" spans="1:65" x14ac:dyDescent="0.35">
      <c r="B34" s="40"/>
      <c r="C34" s="40"/>
      <c r="D34" s="40"/>
      <c r="F34" s="40"/>
      <c r="G34" s="40"/>
      <c r="J34" s="160"/>
      <c r="K34" s="160"/>
      <c r="S34" s="25"/>
      <c r="T34" s="25"/>
      <c r="U34" s="25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</row>
    <row r="35" spans="1:65" s="9" customFormat="1" x14ac:dyDescent="0.35">
      <c r="A35" s="17" t="s">
        <v>428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46.5" x14ac:dyDescent="0.35">
      <c r="A36" s="262" t="s">
        <v>22</v>
      </c>
      <c r="B36" s="262" t="s">
        <v>34</v>
      </c>
      <c r="C36" s="262" t="s">
        <v>388</v>
      </c>
      <c r="D36" s="266" t="s">
        <v>429</v>
      </c>
      <c r="E36" s="266" t="s">
        <v>430</v>
      </c>
      <c r="F36" s="72" t="s">
        <v>431</v>
      </c>
      <c r="G36" s="72" t="s">
        <v>432</v>
      </c>
      <c r="H36" s="72" t="s">
        <v>433</v>
      </c>
      <c r="I36" s="72" t="s">
        <v>434</v>
      </c>
      <c r="J36" s="72" t="s">
        <v>435</v>
      </c>
      <c r="K36" s="72" t="s">
        <v>436</v>
      </c>
      <c r="S36" s="10"/>
      <c r="V36" s="10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177"/>
      <c r="AJ36" s="176"/>
      <c r="AK36" s="25"/>
      <c r="AL36" s="175"/>
      <c r="AM36" s="176"/>
      <c r="AN36" s="176"/>
      <c r="AO36" s="176"/>
      <c r="AP36" s="176"/>
      <c r="AQ36" s="176"/>
      <c r="AR36" s="176"/>
      <c r="AS36" s="176"/>
      <c r="AT36" s="176"/>
      <c r="AU36" s="176"/>
      <c r="AV36" s="15"/>
      <c r="AW36" s="177"/>
      <c r="AX36" s="175"/>
      <c r="AY36" s="176"/>
      <c r="AZ36" s="176"/>
      <c r="BA36" s="176"/>
      <c r="BB36" s="176"/>
      <c r="BC36" s="176"/>
      <c r="BD36" s="176"/>
      <c r="BE36" s="176"/>
      <c r="BF36" s="176"/>
      <c r="BG36" s="176"/>
      <c r="BH36" s="15"/>
      <c r="BI36" s="25"/>
      <c r="BJ36" s="25"/>
      <c r="BK36" s="25"/>
      <c r="BL36" s="25"/>
      <c r="BM36" s="25"/>
    </row>
    <row r="37" spans="1:65" x14ac:dyDescent="0.35">
      <c r="A37" s="99">
        <v>31</v>
      </c>
      <c r="B37" s="100" t="s">
        <v>37</v>
      </c>
      <c r="C37" s="158">
        <f>Bestämningsfaktorer!C4</f>
        <v>648042</v>
      </c>
      <c r="D37" s="63">
        <f>'Social- och hälsovårdskostnader'!R15</f>
        <v>2059592420.1713476</v>
      </c>
      <c r="E37" s="40">
        <f t="shared" ref="E37:E59" si="12">D37/C10</f>
        <v>3178.1773714841747</v>
      </c>
      <c r="F37" s="40">
        <f>'Kalkylerad finansiering av soci'!M50</f>
        <v>2018884761.7244384</v>
      </c>
      <c r="G37" s="40">
        <f>F37-D37</f>
        <v>-40707658.446909189</v>
      </c>
      <c r="H37" s="160">
        <f>G37/C37</f>
        <v>-62.816389133588856</v>
      </c>
      <c r="I37" s="65">
        <f>'Kalkylerad finansiering av soci'!M106</f>
        <v>2017654775.9212787</v>
      </c>
      <c r="J37" s="65">
        <f>I37-D37</f>
        <v>-41937644.250068903</v>
      </c>
      <c r="K37" s="160">
        <f>J37/C37</f>
        <v>-64.714392354305588</v>
      </c>
      <c r="S37" s="103"/>
      <c r="V37" s="103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80"/>
      <c r="AI37" s="180"/>
      <c r="AJ37" s="181"/>
      <c r="AK37" s="25"/>
      <c r="AL37" s="103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25"/>
      <c r="AX37" s="103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25"/>
      <c r="BJ37" s="25"/>
      <c r="BK37" s="25"/>
      <c r="BL37" s="25"/>
      <c r="BM37" s="25"/>
    </row>
    <row r="38" spans="1:65" x14ac:dyDescent="0.35">
      <c r="A38" s="99">
        <v>32</v>
      </c>
      <c r="B38" s="100" t="s">
        <v>39</v>
      </c>
      <c r="C38" s="158">
        <f>Bestämningsfaktorer!C5</f>
        <v>264420</v>
      </c>
      <c r="D38" s="63">
        <f>'Social- och hälsovårdskostnader'!R16</f>
        <v>788802950.19146705</v>
      </c>
      <c r="E38" s="40">
        <f t="shared" si="12"/>
        <v>2983.1440518548789</v>
      </c>
      <c r="F38" s="40">
        <f>'Kalkylerad finansiering av soci'!M51</f>
        <v>794386038.15855896</v>
      </c>
      <c r="G38" s="40">
        <f t="shared" ref="G38:G59" si="13">F38-D38</f>
        <v>5583087.967091918</v>
      </c>
      <c r="H38" s="160">
        <f t="shared" ref="H38:H59" si="14">G38/C38</f>
        <v>21.11446928028106</v>
      </c>
      <c r="I38" s="65">
        <f>'Kalkylerad finansiering av soci'!M107</f>
        <v>792974576.0803535</v>
      </c>
      <c r="J38" s="65">
        <f t="shared" ref="J38:J59" si="15">I38-D38</f>
        <v>4171625.8888864517</v>
      </c>
      <c r="K38" s="160">
        <f t="shared" ref="K38:K59" si="16">J38/C38</f>
        <v>15.776514215590545</v>
      </c>
      <c r="S38" s="103"/>
      <c r="V38" s="103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80"/>
      <c r="AI38" s="180"/>
      <c r="AJ38" s="181"/>
      <c r="AK38" s="25"/>
      <c r="AL38" s="103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25"/>
      <c r="AX38" s="103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25"/>
      <c r="BJ38" s="25"/>
      <c r="BK38" s="25"/>
      <c r="BL38" s="25"/>
      <c r="BM38" s="25"/>
    </row>
    <row r="39" spans="1:65" x14ac:dyDescent="0.35">
      <c r="A39" s="99">
        <v>33</v>
      </c>
      <c r="B39" s="100" t="s">
        <v>41</v>
      </c>
      <c r="C39" s="158">
        <f>Bestämningsfaktorer!C6</f>
        <v>464302</v>
      </c>
      <c r="D39" s="63">
        <f>'Social- och hälsovårdskostnader'!R17</f>
        <v>1410186539.1626453</v>
      </c>
      <c r="E39" s="40">
        <f t="shared" si="12"/>
        <v>3037.2183173077983</v>
      </c>
      <c r="F39" s="40">
        <f>'Kalkylerad finansiering av soci'!M52</f>
        <v>1361343813.4434359</v>
      </c>
      <c r="G39" s="40">
        <f t="shared" si="13"/>
        <v>-48842725.719209433</v>
      </c>
      <c r="H39" s="160">
        <f t="shared" si="14"/>
        <v>-105.19602698073545</v>
      </c>
      <c r="I39" s="65">
        <f>'Kalkylerad finansiering av soci'!M108</f>
        <v>1362173766.3544776</v>
      </c>
      <c r="J39" s="65">
        <f t="shared" si="15"/>
        <v>-48012772.808167696</v>
      </c>
      <c r="K39" s="160">
        <f t="shared" si="16"/>
        <v>-103.40849879640341</v>
      </c>
      <c r="S39" s="103"/>
      <c r="V39" s="103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80"/>
      <c r="AI39" s="180"/>
      <c r="AJ39" s="181"/>
      <c r="AK39" s="25"/>
      <c r="AL39" s="103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25"/>
      <c r="AX39" s="103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25"/>
      <c r="BJ39" s="25"/>
      <c r="BK39" s="25"/>
      <c r="BL39" s="25"/>
      <c r="BM39" s="25"/>
    </row>
    <row r="40" spans="1:65" x14ac:dyDescent="0.35">
      <c r="A40" s="99">
        <v>34</v>
      </c>
      <c r="B40" s="100" t="s">
        <v>43</v>
      </c>
      <c r="C40" s="158">
        <f>Bestämningsfaktorer!C7</f>
        <v>97263</v>
      </c>
      <c r="D40" s="63">
        <f>'Social- och hälsovårdskostnader'!R18</f>
        <v>308712347.32216984</v>
      </c>
      <c r="E40" s="40">
        <f t="shared" si="12"/>
        <v>3173.9957365305395</v>
      </c>
      <c r="F40" s="40">
        <f>'Kalkylerad finansiering av soci'!M53</f>
        <v>328403170.03815335</v>
      </c>
      <c r="G40" s="40">
        <f t="shared" si="13"/>
        <v>19690822.71598351</v>
      </c>
      <c r="H40" s="160">
        <f t="shared" si="14"/>
        <v>202.4492635018816</v>
      </c>
      <c r="I40" s="65">
        <f>'Kalkylerad finansiering av soci'!M109</f>
        <v>327961552.60544401</v>
      </c>
      <c r="J40" s="65">
        <f t="shared" si="15"/>
        <v>19249205.283274174</v>
      </c>
      <c r="K40" s="160">
        <f t="shared" si="16"/>
        <v>197.90881715836622</v>
      </c>
      <c r="S40" s="103"/>
      <c r="V40" s="103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80"/>
      <c r="AI40" s="180"/>
      <c r="AJ40" s="181"/>
      <c r="AK40" s="25"/>
      <c r="AL40" s="103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25"/>
      <c r="AX40" s="103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25"/>
      <c r="BJ40" s="25"/>
      <c r="BK40" s="25"/>
      <c r="BL40" s="25"/>
      <c r="BM40" s="25"/>
    </row>
    <row r="41" spans="1:65" x14ac:dyDescent="0.35">
      <c r="A41" s="162">
        <v>35</v>
      </c>
      <c r="B41" s="103" t="s">
        <v>45</v>
      </c>
      <c r="C41" s="158">
        <f>Bestämningsfaktorer!C8</f>
        <v>196997</v>
      </c>
      <c r="D41" s="45">
        <f>'Social- och hälsovårdskostnader'!R19</f>
        <v>646152860.40182829</v>
      </c>
      <c r="E41" s="45">
        <f t="shared" si="12"/>
        <v>3280.0137078322427</v>
      </c>
      <c r="F41" s="40">
        <f>'Kalkylerad finansiering av soci'!M54</f>
        <v>603302907.21690595</v>
      </c>
      <c r="G41" s="40">
        <f t="shared" si="13"/>
        <v>-42849953.184922338</v>
      </c>
      <c r="H41" s="160">
        <f t="shared" si="14"/>
        <v>-217.51576513816119</v>
      </c>
      <c r="I41" s="65">
        <f>'Kalkylerad finansiering av soci'!M110</f>
        <v>602793251.51519096</v>
      </c>
      <c r="J41" s="65">
        <f t="shared" si="15"/>
        <v>-43359608.88663733</v>
      </c>
      <c r="K41" s="160">
        <f t="shared" si="16"/>
        <v>-220.10288931627045</v>
      </c>
      <c r="S41" s="103"/>
      <c r="V41" s="103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80"/>
      <c r="AI41" s="180"/>
      <c r="AJ41" s="181"/>
      <c r="AK41" s="25"/>
      <c r="AL41" s="103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25"/>
      <c r="AX41" s="103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25"/>
      <c r="BJ41" s="25"/>
      <c r="BK41" s="25"/>
      <c r="BL41" s="25"/>
      <c r="BM41" s="25"/>
    </row>
    <row r="42" spans="1:65" x14ac:dyDescent="0.35">
      <c r="A42" s="3">
        <v>2</v>
      </c>
      <c r="B42" s="16" t="s">
        <v>47</v>
      </c>
      <c r="C42" s="158">
        <f>Bestämningsfaktorer!C9</f>
        <v>478582</v>
      </c>
      <c r="D42" s="63">
        <f>'Social- och hälsovårdskostnader'!R20</f>
        <v>1710507652.6219056</v>
      </c>
      <c r="E42" s="40">
        <f t="shared" si="12"/>
        <v>3574.1161444055679</v>
      </c>
      <c r="F42" s="40">
        <f>'Kalkylerad finansiering av soci'!M55</f>
        <v>1739122950.416328</v>
      </c>
      <c r="G42" s="40">
        <f t="shared" si="13"/>
        <v>28615297.794422388</v>
      </c>
      <c r="H42" s="160">
        <f t="shared" si="14"/>
        <v>59.79183879548831</v>
      </c>
      <c r="I42" s="65">
        <f>'Kalkylerad finansiering av soci'!M111</f>
        <v>1740894748.8441429</v>
      </c>
      <c r="J42" s="65">
        <f t="shared" si="15"/>
        <v>30387096.222237349</v>
      </c>
      <c r="K42" s="160">
        <f t="shared" si="16"/>
        <v>63.494022387464106</v>
      </c>
      <c r="S42" s="10"/>
      <c r="V42" s="10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80"/>
      <c r="AI42" s="180"/>
      <c r="AJ42" s="181"/>
      <c r="AK42" s="25"/>
      <c r="AL42" s="175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25"/>
      <c r="AX42" s="175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25"/>
      <c r="BJ42" s="25"/>
      <c r="BK42" s="25"/>
      <c r="BL42" s="25"/>
      <c r="BM42" s="25"/>
    </row>
    <row r="43" spans="1:65" x14ac:dyDescent="0.35">
      <c r="A43" s="3">
        <v>4</v>
      </c>
      <c r="B43" s="16" t="s">
        <v>49</v>
      </c>
      <c r="C43" s="158">
        <f>Bestämningsfaktorer!C10</f>
        <v>218624</v>
      </c>
      <c r="D43" s="63">
        <f>'Social- och hälsovårdskostnader'!R21</f>
        <v>826512891.60764027</v>
      </c>
      <c r="E43" s="40">
        <f t="shared" si="12"/>
        <v>3780.5222281526285</v>
      </c>
      <c r="F43" s="40">
        <f>'Kalkylerad finansiering av soci'!M56</f>
        <v>825200393.71894217</v>
      </c>
      <c r="G43" s="40">
        <f t="shared" si="13"/>
        <v>-1312497.888698101</v>
      </c>
      <c r="H43" s="160">
        <f t="shared" si="14"/>
        <v>-6.003448334574891</v>
      </c>
      <c r="I43" s="65">
        <f>'Kalkylerad finansiering av soci'!M112</f>
        <v>821930682.31474483</v>
      </c>
      <c r="J43" s="65">
        <f t="shared" si="15"/>
        <v>-4582209.2928954363</v>
      </c>
      <c r="K43" s="160">
        <f t="shared" si="16"/>
        <v>-20.959315047274938</v>
      </c>
      <c r="S43" s="10"/>
      <c r="V43" s="10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80"/>
      <c r="AI43" s="180"/>
      <c r="AJ43" s="181"/>
      <c r="AK43" s="25"/>
      <c r="AL43" s="175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25"/>
      <c r="AX43" s="175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25"/>
      <c r="BJ43" s="25"/>
      <c r="BK43" s="25"/>
      <c r="BL43" s="25"/>
      <c r="BM43" s="25"/>
    </row>
    <row r="44" spans="1:65" x14ac:dyDescent="0.35">
      <c r="A44" s="3">
        <v>5</v>
      </c>
      <c r="B44" s="16" t="s">
        <v>51</v>
      </c>
      <c r="C44" s="158">
        <f>Bestämningsfaktorer!C11</f>
        <v>171364</v>
      </c>
      <c r="D44" s="63">
        <f>'Social- och hälsovårdskostnader'!R22</f>
        <v>610719881.64660203</v>
      </c>
      <c r="E44" s="40">
        <f t="shared" si="12"/>
        <v>3563.8750358686889</v>
      </c>
      <c r="F44" s="40">
        <f>'Kalkylerad finansiering av soci'!M57</f>
        <v>622805983.23050463</v>
      </c>
      <c r="G44" s="40">
        <f t="shared" si="13"/>
        <v>12086101.583902597</v>
      </c>
      <c r="H44" s="160">
        <f t="shared" si="14"/>
        <v>70.528825096884972</v>
      </c>
      <c r="I44" s="65">
        <f>'Kalkylerad finansiering av soci'!M113</f>
        <v>623382712.877841</v>
      </c>
      <c r="J44" s="65">
        <f t="shared" si="15"/>
        <v>12662831.231238961</v>
      </c>
      <c r="K44" s="160">
        <f t="shared" si="16"/>
        <v>73.894349053704175</v>
      </c>
      <c r="S44" s="10"/>
      <c r="V44" s="10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80"/>
      <c r="AI44" s="180"/>
      <c r="AJ44" s="181"/>
      <c r="AK44" s="25"/>
      <c r="AL44" s="175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25"/>
      <c r="AX44" s="175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25"/>
      <c r="BJ44" s="25"/>
      <c r="BK44" s="25"/>
      <c r="BL44" s="25"/>
      <c r="BM44" s="25"/>
    </row>
    <row r="45" spans="1:65" x14ac:dyDescent="0.35">
      <c r="A45" s="3">
        <v>6</v>
      </c>
      <c r="B45" s="16" t="s">
        <v>53</v>
      </c>
      <c r="C45" s="158">
        <f>Bestämningsfaktorer!C12</f>
        <v>517333</v>
      </c>
      <c r="D45" s="63">
        <f>'Social- och hälsovårdskostnader'!R23</f>
        <v>1779926237.0712759</v>
      </c>
      <c r="E45" s="40">
        <f t="shared" si="12"/>
        <v>3440.5812833731388</v>
      </c>
      <c r="F45" s="40">
        <f>'Kalkylerad finansiering av soci'!M58</f>
        <v>1792588451.8334789</v>
      </c>
      <c r="G45" s="40">
        <f t="shared" si="13"/>
        <v>12662214.762202978</v>
      </c>
      <c r="H45" s="160">
        <f t="shared" si="14"/>
        <v>24.475946367625838</v>
      </c>
      <c r="I45" s="65">
        <f>'Kalkylerad finansiering av soci'!M114</f>
        <v>1793995948.7725554</v>
      </c>
      <c r="J45" s="65">
        <f t="shared" si="15"/>
        <v>14069711.701279402</v>
      </c>
      <c r="K45" s="160">
        <f t="shared" si="16"/>
        <v>27.196625193597551</v>
      </c>
      <c r="S45" s="10"/>
      <c r="V45" s="10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80"/>
      <c r="AI45" s="180"/>
      <c r="AJ45" s="181"/>
      <c r="AK45" s="25"/>
      <c r="AL45" s="175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25"/>
      <c r="AX45" s="175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25"/>
      <c r="BJ45" s="25"/>
      <c r="BK45" s="25"/>
      <c r="BL45" s="25"/>
      <c r="BM45" s="25"/>
    </row>
    <row r="46" spans="1:65" x14ac:dyDescent="0.35">
      <c r="A46" s="3">
        <v>7</v>
      </c>
      <c r="B46" s="16" t="s">
        <v>55</v>
      </c>
      <c r="C46" s="158">
        <f>Bestämningsfaktorer!C13</f>
        <v>207394</v>
      </c>
      <c r="D46" s="63">
        <f>'Social- och hälsovårdskostnader'!R24</f>
        <v>737967731.58470845</v>
      </c>
      <c r="E46" s="40">
        <f t="shared" si="12"/>
        <v>3558.2887238044905</v>
      </c>
      <c r="F46" s="40">
        <f>'Kalkylerad finansiering av soci'!M59</f>
        <v>771731380.36842084</v>
      </c>
      <c r="G46" s="40">
        <f t="shared" si="13"/>
        <v>33763648.783712387</v>
      </c>
      <c r="H46" s="160">
        <f t="shared" si="14"/>
        <v>162.79954474918458</v>
      </c>
      <c r="I46" s="65">
        <f>'Kalkylerad finansiering av soci'!M115</f>
        <v>773181759.41696835</v>
      </c>
      <c r="J46" s="65">
        <f t="shared" si="15"/>
        <v>35214027.832259893</v>
      </c>
      <c r="K46" s="160">
        <f t="shared" si="16"/>
        <v>169.79289580344607</v>
      </c>
      <c r="S46" s="10"/>
      <c r="V46" s="10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80"/>
      <c r="AI46" s="180"/>
      <c r="AJ46" s="181"/>
      <c r="AK46" s="25"/>
      <c r="AL46" s="175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25"/>
      <c r="AX46" s="175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25"/>
      <c r="BJ46" s="25"/>
      <c r="BK46" s="25"/>
      <c r="BL46" s="25"/>
      <c r="BM46" s="25"/>
    </row>
    <row r="47" spans="1:65" x14ac:dyDescent="0.35">
      <c r="A47" s="3">
        <v>8</v>
      </c>
      <c r="B47" s="16" t="s">
        <v>57</v>
      </c>
      <c r="C47" s="158">
        <f>Bestämningsfaktorer!C14</f>
        <v>166623</v>
      </c>
      <c r="D47" s="63">
        <f>'Social- och hälsovårdskostnader'!R25</f>
        <v>678515522.63232148</v>
      </c>
      <c r="E47" s="40">
        <f t="shared" si="12"/>
        <v>4072.1600417248605</v>
      </c>
      <c r="F47" s="40">
        <f>'Kalkylerad finansiering av soci'!M60</f>
        <v>662278764.70628107</v>
      </c>
      <c r="G47" s="40">
        <f t="shared" si="13"/>
        <v>-16236757.926040411</v>
      </c>
      <c r="H47" s="160">
        <f t="shared" si="14"/>
        <v>-97.446078428790813</v>
      </c>
      <c r="I47" s="65">
        <f>'Kalkylerad finansiering av soci'!M116</f>
        <v>662180452.00482047</v>
      </c>
      <c r="J47" s="65">
        <f t="shared" si="15"/>
        <v>-16335070.627501011</v>
      </c>
      <c r="K47" s="160">
        <f t="shared" si="16"/>
        <v>-98.036109225623179</v>
      </c>
      <c r="S47" s="10"/>
      <c r="V47" s="10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80"/>
      <c r="AI47" s="180"/>
      <c r="AJ47" s="181"/>
      <c r="AK47" s="25"/>
      <c r="AL47" s="175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25"/>
      <c r="AX47" s="175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25"/>
      <c r="BJ47" s="25"/>
      <c r="BK47" s="25"/>
      <c r="BL47" s="25"/>
      <c r="BM47" s="25"/>
    </row>
    <row r="48" spans="1:65" x14ac:dyDescent="0.35">
      <c r="A48" s="3">
        <v>9</v>
      </c>
      <c r="B48" s="16" t="s">
        <v>59</v>
      </c>
      <c r="C48" s="158">
        <f>Bestämningsfaktorer!C15</f>
        <v>128756</v>
      </c>
      <c r="D48" s="63">
        <f>'Social- och hälsovårdskostnader'!R26</f>
        <v>472070256.02353752</v>
      </c>
      <c r="E48" s="40">
        <f t="shared" si="12"/>
        <v>3666.3942342379191</v>
      </c>
      <c r="F48" s="40">
        <f>'Kalkylerad finansiering av soci'!M61</f>
        <v>487735797.49511528</v>
      </c>
      <c r="G48" s="40">
        <f t="shared" si="13"/>
        <v>15665541.471577764</v>
      </c>
      <c r="H48" s="160">
        <f t="shared" si="14"/>
        <v>121.66843853162388</v>
      </c>
      <c r="I48" s="65">
        <f>'Kalkylerad finansiering av soci'!M117</f>
        <v>487946801.72794122</v>
      </c>
      <c r="J48" s="65">
        <f t="shared" si="15"/>
        <v>15876545.704403698</v>
      </c>
      <c r="K48" s="160">
        <f t="shared" si="16"/>
        <v>123.30722998853412</v>
      </c>
      <c r="S48" s="10"/>
      <c r="V48" s="10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80"/>
      <c r="AI48" s="180"/>
      <c r="AJ48" s="181"/>
      <c r="AK48" s="25"/>
      <c r="AL48" s="175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25"/>
      <c r="AX48" s="175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25"/>
      <c r="BJ48" s="25"/>
      <c r="BK48" s="25"/>
      <c r="BL48" s="25"/>
      <c r="BM48" s="25"/>
    </row>
    <row r="49" spans="1:65" s="9" customFormat="1" x14ac:dyDescent="0.35">
      <c r="A49" s="9">
        <v>10</v>
      </c>
      <c r="B49" s="155" t="s">
        <v>61</v>
      </c>
      <c r="C49" s="158">
        <f>Bestämningsfaktorer!C16</f>
        <v>136474</v>
      </c>
      <c r="D49" s="63">
        <f>'Social- och hälsovårdskostnader'!R27</f>
        <v>595730766.23926485</v>
      </c>
      <c r="E49" s="40">
        <f t="shared" si="12"/>
        <v>4365.1594167333324</v>
      </c>
      <c r="F49" s="40">
        <f>'Kalkylerad finansiering av soci'!M62</f>
        <v>581846887.05242145</v>
      </c>
      <c r="G49" s="40">
        <f t="shared" si="13"/>
        <v>-13883879.186843395</v>
      </c>
      <c r="H49" s="160">
        <f t="shared" si="14"/>
        <v>-101.73277830827406</v>
      </c>
      <c r="I49" s="65">
        <f>'Kalkylerad finansiering av soci'!M118</f>
        <v>581860902.87603962</v>
      </c>
      <c r="J49" s="65">
        <f t="shared" si="15"/>
        <v>-13869863.363225222</v>
      </c>
      <c r="K49" s="160">
        <f t="shared" si="16"/>
        <v>-101.63007871994095</v>
      </c>
      <c r="S49" s="10"/>
      <c r="V49" s="10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80"/>
      <c r="AI49" s="180"/>
      <c r="AJ49" s="183"/>
      <c r="AK49" s="8"/>
      <c r="AL49" s="10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8"/>
      <c r="AX49" s="10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8"/>
      <c r="BJ49" s="8"/>
      <c r="BK49" s="8"/>
      <c r="BL49" s="8"/>
      <c r="BM49" s="8"/>
    </row>
    <row r="50" spans="1:65" s="9" customFormat="1" x14ac:dyDescent="0.35">
      <c r="A50" s="9">
        <v>11</v>
      </c>
      <c r="B50" s="155" t="s">
        <v>63</v>
      </c>
      <c r="C50" s="158">
        <f>Bestämningsfaktorer!C17</f>
        <v>250414</v>
      </c>
      <c r="D50" s="63">
        <f>'Social- och hälsovårdskostnader'!R28</f>
        <v>1002746840.8314279</v>
      </c>
      <c r="E50" s="40">
        <f t="shared" si="12"/>
        <v>4004.3561495420699</v>
      </c>
      <c r="F50" s="40">
        <f>'Kalkylerad finansiering av soci'!M63</f>
        <v>989562826.53433251</v>
      </c>
      <c r="G50" s="40">
        <f t="shared" si="13"/>
        <v>-13184014.297095418</v>
      </c>
      <c r="H50" s="160">
        <f t="shared" si="14"/>
        <v>-52.648870658571077</v>
      </c>
      <c r="I50" s="65">
        <f>'Kalkylerad finansiering av soci'!M119</f>
        <v>989302201.84610081</v>
      </c>
      <c r="J50" s="65">
        <f t="shared" si="15"/>
        <v>-13444638.985327125</v>
      </c>
      <c r="K50" s="160">
        <f t="shared" si="16"/>
        <v>-53.689645887718434</v>
      </c>
      <c r="S50" s="10"/>
      <c r="V50" s="10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80"/>
      <c r="AI50" s="180"/>
      <c r="AJ50" s="183"/>
      <c r="AK50" s="8"/>
      <c r="AL50" s="10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8"/>
      <c r="AX50" s="10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8"/>
      <c r="BJ50" s="8"/>
      <c r="BK50" s="8"/>
      <c r="BL50" s="8"/>
      <c r="BM50" s="8"/>
    </row>
    <row r="51" spans="1:65" x14ac:dyDescent="0.35">
      <c r="A51" s="3">
        <v>12</v>
      </c>
      <c r="B51" s="16" t="s">
        <v>65</v>
      </c>
      <c r="C51" s="158">
        <f>Bestämningsfaktorer!C18</f>
        <v>165569</v>
      </c>
      <c r="D51" s="63">
        <f>'Social- och hälsovårdskostnader'!R29</f>
        <v>622259512.13195372</v>
      </c>
      <c r="E51" s="40">
        <f t="shared" si="12"/>
        <v>3758.3092978272125</v>
      </c>
      <c r="F51" s="40">
        <f>'Kalkylerad finansiering av soci'!M64</f>
        <v>681110727.75931001</v>
      </c>
      <c r="G51" s="40">
        <f t="shared" si="13"/>
        <v>58851215.627356291</v>
      </c>
      <c r="H51" s="160">
        <f t="shared" si="14"/>
        <v>355.44827611060219</v>
      </c>
      <c r="I51" s="65">
        <f>'Kalkylerad finansiering av soci'!M120</f>
        <v>681712043.2526747</v>
      </c>
      <c r="J51" s="65">
        <f t="shared" si="15"/>
        <v>59452531.120720983</v>
      </c>
      <c r="K51" s="160">
        <f t="shared" si="16"/>
        <v>359.08008818511303</v>
      </c>
      <c r="S51" s="10"/>
      <c r="V51" s="10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80"/>
      <c r="AI51" s="180"/>
      <c r="AJ51" s="181"/>
      <c r="AK51" s="25"/>
      <c r="AL51" s="175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25"/>
      <c r="AX51" s="175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25"/>
      <c r="BJ51" s="25"/>
      <c r="BK51" s="25"/>
      <c r="BL51" s="25"/>
      <c r="BM51" s="25"/>
    </row>
    <row r="52" spans="1:65" x14ac:dyDescent="0.35">
      <c r="A52" s="3">
        <v>13</v>
      </c>
      <c r="B52" s="16" t="s">
        <v>67</v>
      </c>
      <c r="C52" s="158">
        <f>Bestämningsfaktorer!C19</f>
        <v>273283</v>
      </c>
      <c r="D52" s="63">
        <f>'Social- och hälsovårdskostnader'!R30</f>
        <v>947667694.83524311</v>
      </c>
      <c r="E52" s="40">
        <f t="shared" si="12"/>
        <v>3467.7154994465191</v>
      </c>
      <c r="F52" s="40">
        <f>'Kalkylerad finansiering av soci'!M65</f>
        <v>985829405.11479974</v>
      </c>
      <c r="G52" s="40">
        <f t="shared" si="13"/>
        <v>38161710.279556632</v>
      </c>
      <c r="H52" s="160">
        <f t="shared" si="14"/>
        <v>139.64172773116744</v>
      </c>
      <c r="I52" s="65">
        <f>'Kalkylerad finansiering av soci'!M121</f>
        <v>987148987.6843729</v>
      </c>
      <c r="J52" s="65">
        <f t="shared" si="15"/>
        <v>39481292.849129796</v>
      </c>
      <c r="K52" s="160">
        <f t="shared" si="16"/>
        <v>144.47035801396279</v>
      </c>
      <c r="S52" s="10"/>
      <c r="V52" s="10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80"/>
      <c r="AI52" s="180"/>
      <c r="AJ52" s="181"/>
      <c r="AK52" s="25"/>
      <c r="AL52" s="175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25"/>
      <c r="AX52" s="175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25"/>
      <c r="BJ52" s="25"/>
      <c r="BK52" s="25"/>
      <c r="BL52" s="25"/>
      <c r="BM52" s="25"/>
    </row>
    <row r="53" spans="1:65" x14ac:dyDescent="0.35">
      <c r="A53" s="3">
        <v>14</v>
      </c>
      <c r="B53" s="16" t="s">
        <v>69</v>
      </c>
      <c r="C53" s="158">
        <f>Bestämningsfaktorer!C20</f>
        <v>194316</v>
      </c>
      <c r="D53" s="63">
        <f>'Social- och hälsovårdskostnader'!R31</f>
        <v>755656037.53540027</v>
      </c>
      <c r="E53" s="40">
        <f t="shared" si="12"/>
        <v>3888.7998802743996</v>
      </c>
      <c r="F53" s="40">
        <f>'Kalkylerad finansiering av soci'!M66</f>
        <v>749823617.73502541</v>
      </c>
      <c r="G53" s="40">
        <f t="shared" si="13"/>
        <v>-5832419.8003748655</v>
      </c>
      <c r="H53" s="160">
        <f t="shared" si="14"/>
        <v>-30.015128967119875</v>
      </c>
      <c r="I53" s="65">
        <f>'Kalkylerad finansiering av soci'!M122</f>
        <v>749372118.01783407</v>
      </c>
      <c r="J53" s="65">
        <f t="shared" si="15"/>
        <v>-6283919.5175662041</v>
      </c>
      <c r="K53" s="160">
        <f t="shared" si="16"/>
        <v>-32.338662372456227</v>
      </c>
      <c r="S53" s="10"/>
      <c r="V53" s="10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80"/>
      <c r="AI53" s="180"/>
      <c r="AJ53" s="181"/>
      <c r="AK53" s="25"/>
      <c r="AL53" s="175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25"/>
      <c r="AX53" s="175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25"/>
      <c r="BJ53" s="25"/>
      <c r="BK53" s="25"/>
      <c r="BL53" s="25"/>
      <c r="BM53" s="25"/>
    </row>
    <row r="54" spans="1:65" x14ac:dyDescent="0.35">
      <c r="A54" s="3">
        <v>15</v>
      </c>
      <c r="B54" s="16" t="s">
        <v>71</v>
      </c>
      <c r="C54" s="158">
        <f>Bestämningsfaktorer!C21</f>
        <v>176193</v>
      </c>
      <c r="D54" s="63">
        <f>'Social- och hälsovårdskostnader'!R32</f>
        <v>645010462.78268433</v>
      </c>
      <c r="E54" s="40">
        <f t="shared" si="12"/>
        <v>3660.817755431171</v>
      </c>
      <c r="F54" s="40">
        <f>'Kalkylerad finansiering av soci'!M67</f>
        <v>616834018.11127162</v>
      </c>
      <c r="G54" s="40">
        <f t="shared" si="13"/>
        <v>-28176444.671412706</v>
      </c>
      <c r="H54" s="160">
        <f t="shared" si="14"/>
        <v>-159.91807093024528</v>
      </c>
      <c r="I54" s="65">
        <f>'Kalkylerad finansiering av soci'!M123</f>
        <v>617009612.85635924</v>
      </c>
      <c r="J54" s="65">
        <f t="shared" si="15"/>
        <v>-28000849.926325083</v>
      </c>
      <c r="K54" s="160">
        <f t="shared" si="16"/>
        <v>-158.92146638246174</v>
      </c>
      <c r="S54" s="10"/>
      <c r="V54" s="10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80"/>
      <c r="AI54" s="180"/>
      <c r="AJ54" s="181"/>
      <c r="AK54" s="25"/>
      <c r="AL54" s="175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25"/>
      <c r="AX54" s="175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25"/>
      <c r="BJ54" s="25"/>
      <c r="BK54" s="25"/>
      <c r="BL54" s="25"/>
      <c r="BM54" s="25"/>
    </row>
    <row r="55" spans="1:65" x14ac:dyDescent="0.35">
      <c r="A55" s="3">
        <v>16</v>
      </c>
      <c r="B55" s="16" t="s">
        <v>73</v>
      </c>
      <c r="C55" s="158">
        <f>Bestämningsfaktorer!C22</f>
        <v>68437</v>
      </c>
      <c r="D55" s="63">
        <f>'Social- och hälsovårdskostnader'!R33</f>
        <v>258860309.9312329</v>
      </c>
      <c r="E55" s="40">
        <f t="shared" si="12"/>
        <v>3782.4613868409324</v>
      </c>
      <c r="F55" s="40">
        <f>'Kalkylerad finansiering av soci'!M68</f>
        <v>254189271.53313625</v>
      </c>
      <c r="G55" s="40">
        <f t="shared" si="13"/>
        <v>-4671038.3980966508</v>
      </c>
      <c r="H55" s="160">
        <f t="shared" si="14"/>
        <v>-68.253114515490907</v>
      </c>
      <c r="I55" s="65">
        <f>'Kalkylerad finansiering av soci'!M124</f>
        <v>253854040.81410098</v>
      </c>
      <c r="J55" s="65">
        <f t="shared" si="15"/>
        <v>-5006269.1171319187</v>
      </c>
      <c r="K55" s="160">
        <f t="shared" si="16"/>
        <v>-73.151498708767463</v>
      </c>
      <c r="S55" s="10"/>
      <c r="V55" s="10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80"/>
      <c r="AI55" s="180"/>
      <c r="AJ55" s="181"/>
      <c r="AK55" s="25"/>
      <c r="AL55" s="175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25"/>
      <c r="AX55" s="175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25"/>
      <c r="BJ55" s="25"/>
      <c r="BK55" s="25"/>
      <c r="BL55" s="25"/>
      <c r="BM55" s="25"/>
    </row>
    <row r="56" spans="1:65" x14ac:dyDescent="0.35">
      <c r="A56" s="3">
        <v>17</v>
      </c>
      <c r="B56" s="16" t="s">
        <v>75</v>
      </c>
      <c r="C56" s="158">
        <f>Bestämningsfaktorer!C23</f>
        <v>412161</v>
      </c>
      <c r="D56" s="63">
        <f>'Social- och hälsovårdskostnader'!R34</f>
        <v>1450500302.4974024</v>
      </c>
      <c r="E56" s="40">
        <f t="shared" si="12"/>
        <v>3519.2565587171093</v>
      </c>
      <c r="F56" s="40">
        <f>'Kalkylerad finansiering av soci'!M69</f>
        <v>1443518045.8149459</v>
      </c>
      <c r="G56" s="40">
        <f t="shared" si="13"/>
        <v>-6982256.6824564934</v>
      </c>
      <c r="H56" s="160">
        <f t="shared" si="14"/>
        <v>-16.940604963731388</v>
      </c>
      <c r="I56" s="65">
        <f>'Kalkylerad finansiering av soci'!M125</f>
        <v>1443269607.6973755</v>
      </c>
      <c r="J56" s="65">
        <f t="shared" si="15"/>
        <v>-7230694.8000268936</v>
      </c>
      <c r="K56" s="160">
        <f t="shared" si="16"/>
        <v>-17.543374555154159</v>
      </c>
      <c r="S56" s="10"/>
      <c r="V56" s="10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80"/>
      <c r="AI56" s="180"/>
      <c r="AJ56" s="181"/>
      <c r="AK56" s="25"/>
      <c r="AL56" s="175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25"/>
      <c r="AX56" s="175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25"/>
      <c r="BJ56" s="25"/>
      <c r="BK56" s="25"/>
      <c r="BL56" s="25"/>
      <c r="BM56" s="25"/>
    </row>
    <row r="57" spans="1:65" x14ac:dyDescent="0.35">
      <c r="A57" s="3">
        <v>18</v>
      </c>
      <c r="B57" s="16" t="s">
        <v>77</v>
      </c>
      <c r="C57" s="158">
        <f>Bestämningsfaktorer!C24</f>
        <v>73061</v>
      </c>
      <c r="D57" s="63">
        <f>'Social- och hälsovårdskostnader'!R35</f>
        <v>330313303.55587071</v>
      </c>
      <c r="E57" s="40">
        <f t="shared" si="12"/>
        <v>4521.0619010945748</v>
      </c>
      <c r="F57" s="40">
        <f>'Kalkylerad finansiering av soci'!M70</f>
        <v>315260318.79912353</v>
      </c>
      <c r="G57" s="40">
        <f t="shared" si="13"/>
        <v>-15052984.756747186</v>
      </c>
      <c r="H57" s="160">
        <f t="shared" si="14"/>
        <v>-206.03310599016146</v>
      </c>
      <c r="I57" s="65">
        <f>'Kalkylerad finansiering av soci'!M126</f>
        <v>315006978.12057638</v>
      </c>
      <c r="J57" s="65">
        <f t="shared" si="15"/>
        <v>-15306325.43529433</v>
      </c>
      <c r="K57" s="160">
        <f t="shared" si="16"/>
        <v>-209.50062872523412</v>
      </c>
      <c r="S57" s="10"/>
      <c r="V57" s="10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80"/>
      <c r="AI57" s="180"/>
      <c r="AJ57" s="181"/>
      <c r="AK57" s="25"/>
      <c r="AL57" s="175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25"/>
      <c r="AX57" s="175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25"/>
      <c r="BJ57" s="25"/>
      <c r="BK57" s="25"/>
      <c r="BL57" s="25"/>
      <c r="BM57" s="25"/>
    </row>
    <row r="58" spans="1:65" x14ac:dyDescent="0.35">
      <c r="A58" s="3">
        <v>19</v>
      </c>
      <c r="B58" s="16" t="s">
        <v>79</v>
      </c>
      <c r="C58" s="158">
        <f>Bestämningsfaktorer!C25</f>
        <v>178522</v>
      </c>
      <c r="D58" s="63">
        <f>'Social- och hälsovårdskostnader'!R36</f>
        <v>766823679.40206933</v>
      </c>
      <c r="E58" s="40">
        <f t="shared" si="12"/>
        <v>4295.4015718066639</v>
      </c>
      <c r="F58" s="40">
        <f>'Kalkylerad finansiering av soci'!M71</f>
        <v>779476669.37506938</v>
      </c>
      <c r="G58" s="40">
        <f t="shared" si="13"/>
        <v>12652989.97300005</v>
      </c>
      <c r="H58" s="160">
        <f t="shared" si="14"/>
        <v>70.876362425919766</v>
      </c>
      <c r="I58" s="65">
        <f>'Kalkylerad finansiering av soci'!M127</f>
        <v>779628678.57880604</v>
      </c>
      <c r="J58" s="65">
        <f t="shared" si="15"/>
        <v>12804999.176736712</v>
      </c>
      <c r="K58" s="160">
        <f t="shared" si="16"/>
        <v>71.727849658511062</v>
      </c>
      <c r="S58" s="10"/>
      <c r="V58" s="10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80"/>
      <c r="AI58" s="180"/>
      <c r="AJ58" s="181"/>
      <c r="AK58" s="25"/>
      <c r="AL58" s="175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25"/>
      <c r="AX58" s="175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25"/>
      <c r="BJ58" s="25"/>
      <c r="BK58" s="25"/>
      <c r="BL58" s="25"/>
      <c r="BM58" s="25"/>
    </row>
    <row r="59" spans="1:65" x14ac:dyDescent="0.35">
      <c r="A59" s="25"/>
      <c r="B59" s="16" t="s">
        <v>35</v>
      </c>
      <c r="C59" s="81">
        <f>SUM(C37:C58)</f>
        <v>5488130</v>
      </c>
      <c r="D59" s="81">
        <f>SUM(D37:D58)</f>
        <v>19405236200.18</v>
      </c>
      <c r="E59" s="81">
        <f t="shared" si="12"/>
        <v>3535.8557833323921</v>
      </c>
      <c r="F59" s="81">
        <f>SUM(F37:F58)</f>
        <v>19405236200.179996</v>
      </c>
      <c r="G59" s="81">
        <f t="shared" si="13"/>
        <v>0</v>
      </c>
      <c r="H59" s="16">
        <f t="shared" si="14"/>
        <v>0</v>
      </c>
      <c r="I59" s="81">
        <f>SUM(I37:I58)</f>
        <v>19405236200.18</v>
      </c>
      <c r="J59" s="81">
        <f t="shared" si="15"/>
        <v>0</v>
      </c>
      <c r="K59" s="16">
        <f t="shared" si="16"/>
        <v>0</v>
      </c>
      <c r="S59" s="10"/>
      <c r="V59" s="10"/>
      <c r="W59" s="180"/>
      <c r="X59" s="180"/>
      <c r="Y59" s="180"/>
      <c r="Z59" s="180"/>
      <c r="AA59" s="180"/>
      <c r="AB59" s="180"/>
      <c r="AC59" s="180"/>
      <c r="AD59" s="180"/>
      <c r="AE59" s="180"/>
      <c r="AF59" s="184"/>
      <c r="AG59" s="180"/>
      <c r="AH59" s="180"/>
      <c r="AI59" s="180"/>
      <c r="AJ59" s="181"/>
      <c r="AK59" s="25"/>
      <c r="AL59" s="175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25"/>
      <c r="AX59" s="175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25"/>
      <c r="BJ59" s="25"/>
      <c r="BK59" s="25"/>
      <c r="BL59" s="25"/>
      <c r="BM59" s="25"/>
    </row>
    <row r="60" spans="1:65" x14ac:dyDescent="0.35">
      <c r="S60" s="10"/>
      <c r="V60" s="10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8"/>
      <c r="AI60" s="179"/>
      <c r="AJ60" s="18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</row>
    <row r="61" spans="1:65" x14ac:dyDescent="0.35">
      <c r="A61" s="9"/>
      <c r="B61" s="186"/>
      <c r="C61" s="187"/>
      <c r="D61" s="187"/>
      <c r="E61" s="187"/>
      <c r="F61" s="187"/>
      <c r="G61" s="187"/>
      <c r="H61" s="187"/>
      <c r="I61" s="109"/>
      <c r="J61" s="109"/>
      <c r="K61" s="109"/>
      <c r="L61" s="188"/>
      <c r="M61" s="109"/>
      <c r="N61" s="109"/>
      <c r="O61" s="81"/>
      <c r="S61" s="10"/>
      <c r="V61" s="10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8"/>
      <c r="AI61" s="179"/>
      <c r="AJ61" s="18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</row>
    <row r="62" spans="1:65" x14ac:dyDescent="0.35">
      <c r="A62" s="17" t="s">
        <v>437</v>
      </c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88"/>
      <c r="M62" s="109"/>
      <c r="N62" s="109"/>
      <c r="O62" s="81"/>
      <c r="S62" s="10"/>
      <c r="V62" s="10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8"/>
      <c r="AI62" s="179"/>
      <c r="AJ62" s="18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</row>
    <row r="63" spans="1:65" ht="31" x14ac:dyDescent="0.35">
      <c r="A63" s="262" t="s">
        <v>22</v>
      </c>
      <c r="B63" s="262" t="s">
        <v>34</v>
      </c>
      <c r="C63" s="262" t="s">
        <v>388</v>
      </c>
      <c r="D63" s="266" t="s">
        <v>438</v>
      </c>
      <c r="E63" s="264" t="s">
        <v>439</v>
      </c>
      <c r="F63" s="267" t="s">
        <v>440</v>
      </c>
      <c r="G63" s="267" t="s">
        <v>441</v>
      </c>
      <c r="H63" s="267" t="s">
        <v>442</v>
      </c>
      <c r="I63" s="268" t="s">
        <v>443</v>
      </c>
      <c r="J63" s="109"/>
      <c r="K63" s="109"/>
      <c r="L63" s="188"/>
      <c r="M63" s="109"/>
      <c r="N63" s="109"/>
      <c r="O63" s="81"/>
      <c r="S63" s="10"/>
      <c r="V63" s="10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8"/>
      <c r="AI63" s="179"/>
      <c r="AJ63" s="18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</row>
    <row r="64" spans="1:65" x14ac:dyDescent="0.35">
      <c r="A64" s="99">
        <v>31</v>
      </c>
      <c r="B64" s="100" t="s">
        <v>37</v>
      </c>
      <c r="C64" s="158">
        <f>Bestämningsfaktorer!C4</f>
        <v>648042</v>
      </c>
      <c r="D64" s="40">
        <f>'Räddningskostnader som överförs'!L13</f>
        <v>41065592.461026452</v>
      </c>
      <c r="E64" s="117">
        <f>Taulukko29[[#This Row],[Kostnader för räddningsväsendet som överförs, €]]/Taulukko29[[#This Row],[Invånarantal]]</f>
        <v>63.368720640061063</v>
      </c>
      <c r="F64" s="191">
        <f>'Kalkylerade finansieringen av r'!F44</f>
        <v>42729516.469355457</v>
      </c>
      <c r="G64" s="192">
        <f>F64/C64</f>
        <v>65.936338183876131</v>
      </c>
      <c r="H64" s="192">
        <f>F64-D64</f>
        <v>1663924.008329004</v>
      </c>
      <c r="I64" s="193">
        <f>H64/C64</f>
        <v>2.5676175438150675</v>
      </c>
      <c r="J64" s="109"/>
      <c r="K64" s="109"/>
      <c r="L64" s="188"/>
      <c r="M64" s="109"/>
      <c r="N64" s="109"/>
      <c r="O64" s="81"/>
      <c r="S64" s="10"/>
      <c r="V64" s="10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8"/>
      <c r="AI64" s="179"/>
      <c r="AJ64" s="18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</row>
    <row r="65" spans="1:65" x14ac:dyDescent="0.35">
      <c r="A65" s="99">
        <v>32</v>
      </c>
      <c r="B65" s="100" t="s">
        <v>39</v>
      </c>
      <c r="C65" s="158">
        <f>Bestämningsfaktorer!C5</f>
        <v>264420</v>
      </c>
      <c r="D65" s="40">
        <f>'Räddningskostnader som överförs'!L14</f>
        <v>13309851.295238428</v>
      </c>
      <c r="E65" s="117">
        <f>Taulukko29[[#This Row],[Kostnader för räddningsväsendet som överförs, €]]/Taulukko29[[#This Row],[Invånarantal]]</f>
        <v>50.336023353900721</v>
      </c>
      <c r="F65" s="191">
        <f>'Kalkylerade finansieringen av r'!F45</f>
        <v>20574076.267244913</v>
      </c>
      <c r="G65" s="192">
        <f t="shared" ref="G65:G86" si="17">F65/C65</f>
        <v>77.808321107499097</v>
      </c>
      <c r="H65" s="192">
        <f t="shared" ref="H65:H85" si="18">F65-D65</f>
        <v>7264224.9720064849</v>
      </c>
      <c r="I65" s="193">
        <f t="shared" ref="I65:I86" si="19">H65/C65</f>
        <v>27.472297753598383</v>
      </c>
      <c r="J65" s="109"/>
      <c r="K65" s="109"/>
      <c r="L65" s="188"/>
      <c r="M65" s="109"/>
      <c r="N65" s="109"/>
      <c r="O65" s="81"/>
      <c r="S65" s="10"/>
      <c r="V65" s="10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8"/>
      <c r="AI65" s="179"/>
      <c r="AJ65" s="18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</row>
    <row r="66" spans="1:65" x14ac:dyDescent="0.35">
      <c r="A66" s="99">
        <v>33</v>
      </c>
      <c r="B66" s="100" t="s">
        <v>41</v>
      </c>
      <c r="C66" s="158">
        <f>Bestämningsfaktorer!C6</f>
        <v>464302</v>
      </c>
      <c r="D66" s="40">
        <f>'Räddningskostnader som överförs'!L15</f>
        <v>35029359.47048936</v>
      </c>
      <c r="E66" s="117">
        <f>Taulukko29[[#This Row],[Kostnader för räddningsväsendet som överförs, €]]/Taulukko29[[#This Row],[Invånarantal]]</f>
        <v>75.445204781563206</v>
      </c>
      <c r="F66" s="191">
        <f>'Kalkylerade finansieringen av r'!F46</f>
        <v>36278738.179426417</v>
      </c>
      <c r="G66" s="192">
        <f t="shared" si="17"/>
        <v>78.136079920884285</v>
      </c>
      <c r="H66" s="192">
        <f t="shared" si="18"/>
        <v>1249378.7089370564</v>
      </c>
      <c r="I66" s="193">
        <f t="shared" si="19"/>
        <v>2.6908751393210806</v>
      </c>
      <c r="J66" s="109"/>
      <c r="K66" s="109"/>
      <c r="L66" s="188"/>
      <c r="M66" s="109"/>
      <c r="N66" s="109"/>
      <c r="O66" s="81"/>
      <c r="S66" s="10"/>
      <c r="V66" s="10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8"/>
      <c r="AI66" s="179"/>
      <c r="AJ66" s="18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</row>
    <row r="67" spans="1:65" x14ac:dyDescent="0.35">
      <c r="A67" s="99">
        <v>34</v>
      </c>
      <c r="B67" s="100" t="s">
        <v>43</v>
      </c>
      <c r="C67" s="158">
        <f>Bestämningsfaktorer!C7</f>
        <v>97263</v>
      </c>
      <c r="D67" s="40">
        <f>'Räddningskostnader som överförs'!L16</f>
        <v>10469489.551361401</v>
      </c>
      <c r="E67" s="117">
        <f>Taulukko29[[#This Row],[Kostnader för räddningsväsendet som överförs, €]]/Taulukko29[[#This Row],[Invånarantal]]</f>
        <v>107.64103051891676</v>
      </c>
      <c r="F67" s="191">
        <f>'Kalkylerade finansieringen av r'!F47</f>
        <v>7997691.2443882711</v>
      </c>
      <c r="G67" s="192">
        <f t="shared" si="17"/>
        <v>82.22747853128395</v>
      </c>
      <c r="H67" s="192">
        <f t="shared" si="18"/>
        <v>-2471798.3069731295</v>
      </c>
      <c r="I67" s="193">
        <f t="shared" si="19"/>
        <v>-25.413551987632804</v>
      </c>
      <c r="J67" s="109"/>
      <c r="K67" s="109"/>
      <c r="L67" s="188"/>
      <c r="M67" s="109"/>
      <c r="N67" s="109"/>
      <c r="O67" s="81"/>
      <c r="S67" s="10"/>
      <c r="V67" s="10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8"/>
      <c r="AI67" s="179"/>
      <c r="AJ67" s="18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</row>
    <row r="68" spans="1:65" x14ac:dyDescent="0.35">
      <c r="A68" s="162">
        <v>35</v>
      </c>
      <c r="B68" s="103" t="s">
        <v>45</v>
      </c>
      <c r="C68" s="158">
        <f>Bestämningsfaktorer!C8</f>
        <v>196997</v>
      </c>
      <c r="D68" s="45">
        <f>'Räddningskostnader som överförs'!L17</f>
        <v>15532050.993231511</v>
      </c>
      <c r="E68" s="117">
        <f>Taulukko29[[#This Row],[Kostnader för räddningsväsendet som överförs, €]]/Taulukko29[[#This Row],[Invånarantal]]</f>
        <v>78.844099114359665</v>
      </c>
      <c r="F68" s="191">
        <f>'Kalkylerade finansieringen av r'!F48</f>
        <v>16386395.183646005</v>
      </c>
      <c r="G68" s="192">
        <f t="shared" si="17"/>
        <v>83.180937697761919</v>
      </c>
      <c r="H68" s="192">
        <f t="shared" si="18"/>
        <v>854344.1904144939</v>
      </c>
      <c r="I68" s="193">
        <f t="shared" si="19"/>
        <v>4.3368385834022547</v>
      </c>
      <c r="J68" s="109"/>
      <c r="K68" s="109"/>
      <c r="L68" s="188"/>
      <c r="M68" s="109"/>
      <c r="N68" s="109"/>
      <c r="O68" s="81"/>
      <c r="S68" s="10"/>
      <c r="V68" s="10"/>
      <c r="W68" s="487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8"/>
      <c r="AI68" s="179"/>
      <c r="AJ68" s="18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</row>
    <row r="69" spans="1:65" x14ac:dyDescent="0.35">
      <c r="A69" s="3">
        <v>2</v>
      </c>
      <c r="B69" s="16" t="s">
        <v>47</v>
      </c>
      <c r="C69" s="158">
        <f>Bestämningsfaktorer!C9</f>
        <v>478582</v>
      </c>
      <c r="D69" s="40">
        <f>'Räddningskostnader som överförs'!L18</f>
        <v>37858578.379204527</v>
      </c>
      <c r="E69" s="117">
        <f>Taulukko29[[#This Row],[Kostnader för räddningsväsendet som överförs, €]]/Taulukko29[[#This Row],[Invånarantal]]</f>
        <v>79.105729800127307</v>
      </c>
      <c r="F69" s="191">
        <f>'Kalkylerade finansieringen av r'!F49</f>
        <v>40864891.492233902</v>
      </c>
      <c r="G69" s="192">
        <f t="shared" si="17"/>
        <v>85.387439335858645</v>
      </c>
      <c r="H69" s="192">
        <f t="shared" si="18"/>
        <v>3006313.1130293757</v>
      </c>
      <c r="I69" s="193">
        <f t="shared" si="19"/>
        <v>6.2817095357313386</v>
      </c>
      <c r="J69" s="109"/>
      <c r="K69" s="109"/>
      <c r="L69" s="188"/>
      <c r="M69" s="109"/>
      <c r="N69" s="109"/>
      <c r="O69" s="81"/>
      <c r="S69" s="10"/>
      <c r="V69" s="10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8"/>
      <c r="AI69" s="179"/>
      <c r="AJ69" s="18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</row>
    <row r="70" spans="1:65" x14ac:dyDescent="0.35">
      <c r="A70" s="3">
        <v>4</v>
      </c>
      <c r="B70" s="16" t="s">
        <v>49</v>
      </c>
      <c r="C70" s="158">
        <f>Bestämningsfaktorer!C10</f>
        <v>218624</v>
      </c>
      <c r="D70" s="40">
        <f>'Räddningskostnader som överförs'!L19</f>
        <v>22375343.616205916</v>
      </c>
      <c r="E70" s="117">
        <f>Taulukko29[[#This Row],[Kostnader för räddningsväsendet som överförs, €]]/Taulukko29[[#This Row],[Invånarantal]]</f>
        <v>102.34623653489972</v>
      </c>
      <c r="F70" s="191">
        <f>'Kalkylerade finansieringen av r'!F50</f>
        <v>20134426.616722621</v>
      </c>
      <c r="G70" s="192">
        <f t="shared" si="17"/>
        <v>92.096140481935294</v>
      </c>
      <c r="H70" s="192">
        <f t="shared" si="18"/>
        <v>-2240916.9994832948</v>
      </c>
      <c r="I70" s="193">
        <f t="shared" si="19"/>
        <v>-10.250096052964427</v>
      </c>
      <c r="J70" s="109"/>
      <c r="K70" s="109"/>
      <c r="L70" s="188"/>
      <c r="M70" s="109"/>
      <c r="N70" s="109"/>
      <c r="O70" s="81"/>
      <c r="S70" s="10"/>
      <c r="V70" s="10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8"/>
      <c r="AI70" s="179"/>
      <c r="AJ70" s="18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</row>
    <row r="71" spans="1:65" x14ac:dyDescent="0.35">
      <c r="A71" s="3">
        <v>5</v>
      </c>
      <c r="B71" s="16" t="s">
        <v>51</v>
      </c>
      <c r="C71" s="158">
        <f>Bestämningsfaktorer!C11</f>
        <v>171364</v>
      </c>
      <c r="D71" s="40">
        <f>'Räddningskostnader som överförs'!L20</f>
        <v>13036055.916975668</v>
      </c>
      <c r="E71" s="117">
        <f>Taulukko29[[#This Row],[Kostnader för räddningsväsendet som överförs, €]]/Taulukko29[[#This Row],[Invånarantal]]</f>
        <v>76.072313420413082</v>
      </c>
      <c r="F71" s="191">
        <f>'Kalkylerade finansieringen av r'!F51</f>
        <v>14743412.674443457</v>
      </c>
      <c r="G71" s="192">
        <f t="shared" si="17"/>
        <v>86.0356473614263</v>
      </c>
      <c r="H71" s="192">
        <f t="shared" si="18"/>
        <v>1707356.7574677896</v>
      </c>
      <c r="I71" s="193">
        <f t="shared" si="19"/>
        <v>9.9633339410132216</v>
      </c>
      <c r="J71" s="109"/>
      <c r="K71" s="109"/>
      <c r="L71" s="188"/>
      <c r="M71" s="109"/>
      <c r="N71" s="109"/>
      <c r="O71" s="81"/>
      <c r="S71" s="10"/>
      <c r="V71" s="10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8"/>
      <c r="AI71" s="179"/>
      <c r="AJ71" s="18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</row>
    <row r="72" spans="1:65" x14ac:dyDescent="0.35">
      <c r="A72" s="3">
        <v>6</v>
      </c>
      <c r="B72" s="16" t="s">
        <v>53</v>
      </c>
      <c r="C72" s="158">
        <f>Bestämningsfaktorer!C12</f>
        <v>517333</v>
      </c>
      <c r="D72" s="40">
        <f>'Räddningskostnader som överförs'!L21</f>
        <v>39765595.025476538</v>
      </c>
      <c r="E72" s="117">
        <f>Taulukko29[[#This Row],[Kostnader för räddningsväsendet som överförs, €]]/Taulukko29[[#This Row],[Invånarantal]]</f>
        <v>76.86653475706467</v>
      </c>
      <c r="F72" s="191">
        <f>'Kalkylerade finansieringen av r'!F52</f>
        <v>41736310.541838743</v>
      </c>
      <c r="G72" s="192">
        <f t="shared" si="17"/>
        <v>80.675909988032359</v>
      </c>
      <c r="H72" s="192">
        <f t="shared" si="18"/>
        <v>1970715.5163622051</v>
      </c>
      <c r="I72" s="193">
        <f t="shared" si="19"/>
        <v>3.8093752309676847</v>
      </c>
      <c r="J72" s="109"/>
      <c r="K72" s="109"/>
      <c r="L72" s="188"/>
      <c r="M72" s="109"/>
      <c r="N72" s="109"/>
      <c r="O72" s="81"/>
      <c r="S72" s="10"/>
      <c r="V72" s="10"/>
      <c r="W72" s="487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8"/>
      <c r="AI72" s="179"/>
      <c r="AJ72" s="18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x14ac:dyDescent="0.35">
      <c r="A73" s="3">
        <v>7</v>
      </c>
      <c r="B73" s="16" t="s">
        <v>55</v>
      </c>
      <c r="C73" s="158">
        <f>Bestämningsfaktorer!C13</f>
        <v>207394</v>
      </c>
      <c r="D73" s="40">
        <f>'Räddningskostnader som överförs'!L22</f>
        <v>21318366.109424103</v>
      </c>
      <c r="E73" s="117">
        <f>Taulukko29[[#This Row],[Kostnader för räddningsväsendet som överförs, €]]/Taulukko29[[#This Row],[Invånarantal]]</f>
        <v>102.79162420043059</v>
      </c>
      <c r="F73" s="191">
        <f>'Kalkylerade finansieringen av r'!F53</f>
        <v>18006768.033022862</v>
      </c>
      <c r="G73" s="192">
        <f t="shared" si="17"/>
        <v>86.823958422243948</v>
      </c>
      <c r="H73" s="192">
        <f t="shared" si="18"/>
        <v>-3311598.0764012411</v>
      </c>
      <c r="I73" s="193">
        <f t="shared" si="19"/>
        <v>-15.967665778186646</v>
      </c>
      <c r="J73" s="109"/>
      <c r="K73" s="109"/>
      <c r="L73" s="188"/>
      <c r="M73" s="109"/>
      <c r="N73" s="109"/>
      <c r="O73" s="81"/>
      <c r="S73" s="10"/>
      <c r="V73" s="10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8"/>
      <c r="AI73" s="179"/>
      <c r="AJ73" s="18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x14ac:dyDescent="0.35">
      <c r="A74" s="3">
        <v>8</v>
      </c>
      <c r="B74" s="16" t="s">
        <v>57</v>
      </c>
      <c r="C74" s="158">
        <f>Bestämningsfaktorer!C14</f>
        <v>166623</v>
      </c>
      <c r="D74" s="40">
        <f>'Räddningskostnader som överförs'!L23</f>
        <v>17565883.715869401</v>
      </c>
      <c r="E74" s="117">
        <f>Taulukko29[[#This Row],[Kostnader för räddningsväsendet som överförs, €]]/Taulukko29[[#This Row],[Invånarantal]]</f>
        <v>105.42292310106889</v>
      </c>
      <c r="F74" s="191">
        <f>'Kalkylerade finansieringen av r'!F54</f>
        <v>15494798.539238831</v>
      </c>
      <c r="G74" s="192">
        <f t="shared" si="17"/>
        <v>92.993155442158837</v>
      </c>
      <c r="H74" s="192">
        <f t="shared" si="18"/>
        <v>-2071085.1766305696</v>
      </c>
      <c r="I74" s="193">
        <f t="shared" si="19"/>
        <v>-12.429767658910052</v>
      </c>
      <c r="J74" s="109"/>
      <c r="K74" s="109"/>
      <c r="L74" s="188"/>
      <c r="M74" s="109"/>
      <c r="N74" s="109"/>
      <c r="O74" s="81"/>
      <c r="S74" s="10"/>
      <c r="V74" s="10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8"/>
      <c r="AI74" s="179"/>
      <c r="AJ74" s="18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x14ac:dyDescent="0.35">
      <c r="A75" s="3">
        <v>9</v>
      </c>
      <c r="B75" s="16" t="s">
        <v>59</v>
      </c>
      <c r="C75" s="158">
        <f>Bestämningsfaktorer!C15</f>
        <v>128756</v>
      </c>
      <c r="D75" s="40">
        <f>'Räddningskostnader som överförs'!L24</f>
        <v>14121686.428459397</v>
      </c>
      <c r="E75" s="117">
        <f>Taulukko29[[#This Row],[Kostnader för räddningsväsendet som överförs, €]]/Taulukko29[[#This Row],[Invånarantal]]</f>
        <v>109.67789018344307</v>
      </c>
      <c r="F75" s="191">
        <f>'Kalkylerade finansieringen av r'!F55</f>
        <v>11578092.069942812</v>
      </c>
      <c r="G75" s="192">
        <f t="shared" si="17"/>
        <v>89.922738124381084</v>
      </c>
      <c r="H75" s="192">
        <f t="shared" si="18"/>
        <v>-2543594.3585165851</v>
      </c>
      <c r="I75" s="193">
        <f t="shared" si="19"/>
        <v>-19.755152059061984</v>
      </c>
      <c r="J75" s="109"/>
      <c r="K75" s="109"/>
      <c r="L75" s="188"/>
      <c r="M75" s="109"/>
      <c r="N75" s="109"/>
      <c r="O75" s="81"/>
      <c r="S75" s="10"/>
      <c r="V75" s="10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8"/>
      <c r="AI75" s="179"/>
      <c r="AJ75" s="18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</row>
    <row r="76" spans="1:65" x14ac:dyDescent="0.35">
      <c r="A76" s="9">
        <v>10</v>
      </c>
      <c r="B76" s="155" t="s">
        <v>61</v>
      </c>
      <c r="C76" s="158">
        <f>Bestämningsfaktorer!C16</f>
        <v>136474</v>
      </c>
      <c r="D76" s="63">
        <f>'Räddningskostnader som överförs'!L25</f>
        <v>12722464.698849138</v>
      </c>
      <c r="E76" s="117">
        <f>Taulukko29[[#This Row],[Kostnader för räddningsväsendet som överförs, €]]/Taulukko29[[#This Row],[Invånarantal]]</f>
        <v>93.222626279358252</v>
      </c>
      <c r="F76" s="191">
        <f>'Kalkylerade finansieringen av r'!F56</f>
        <v>12858593.668142365</v>
      </c>
      <c r="G76" s="192">
        <f t="shared" si="17"/>
        <v>94.220098100314829</v>
      </c>
      <c r="H76" s="192">
        <f t="shared" si="18"/>
        <v>136128.96929322742</v>
      </c>
      <c r="I76" s="193">
        <f t="shared" si="19"/>
        <v>0.99747182095657361</v>
      </c>
      <c r="J76" s="109"/>
      <c r="K76" s="109"/>
      <c r="L76" s="188"/>
      <c r="M76" s="109"/>
      <c r="N76" s="109"/>
      <c r="O76" s="81"/>
      <c r="S76" s="10"/>
      <c r="V76" s="10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8"/>
      <c r="AI76" s="179"/>
      <c r="AJ76" s="18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x14ac:dyDescent="0.35">
      <c r="A77" s="9">
        <v>11</v>
      </c>
      <c r="B77" s="155" t="s">
        <v>63</v>
      </c>
      <c r="C77" s="158">
        <f>Bestämningsfaktorer!C17</f>
        <v>250414</v>
      </c>
      <c r="D77" s="63">
        <f>'Räddningskostnader som överförs'!L26</f>
        <v>20357959.84071172</v>
      </c>
      <c r="E77" s="117">
        <f>Taulukko29[[#This Row],[Kostnader för räddningsväsendet som överförs, €]]/Taulukko29[[#This Row],[Invånarantal]]</f>
        <v>81.297211181130933</v>
      </c>
      <c r="F77" s="191">
        <f>'Kalkylerade finansieringen av r'!F57</f>
        <v>20782430.536737368</v>
      </c>
      <c r="G77" s="192">
        <f t="shared" si="17"/>
        <v>82.992286919810269</v>
      </c>
      <c r="H77" s="192">
        <f t="shared" si="18"/>
        <v>424470.69602564722</v>
      </c>
      <c r="I77" s="193">
        <f t="shared" si="19"/>
        <v>1.6950757386793358</v>
      </c>
      <c r="J77" s="109"/>
      <c r="K77" s="109"/>
      <c r="L77" s="188"/>
      <c r="M77" s="109"/>
      <c r="N77" s="109"/>
      <c r="O77" s="81"/>
      <c r="S77" s="10"/>
      <c r="V77" s="10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8"/>
      <c r="AI77" s="179"/>
      <c r="AJ77" s="18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x14ac:dyDescent="0.35">
      <c r="A78" s="3">
        <v>12</v>
      </c>
      <c r="B78" s="16" t="s">
        <v>65</v>
      </c>
      <c r="C78" s="158">
        <f>Bestämningsfaktorer!C18</f>
        <v>165569</v>
      </c>
      <c r="D78" s="40">
        <f>'Räddningskostnader som överförs'!L27</f>
        <v>14860827.827529205</v>
      </c>
      <c r="E78" s="117">
        <f>Taulukko29[[#This Row],[Kostnader för räddningsväsendet som överförs, €]]/Taulukko29[[#This Row],[Invånarantal]]</f>
        <v>89.756100644016726</v>
      </c>
      <c r="F78" s="191">
        <f>'Kalkylerade finansieringen av r'!F58</f>
        <v>14895287.450906577</v>
      </c>
      <c r="G78" s="192">
        <f t="shared" si="17"/>
        <v>89.964229118413328</v>
      </c>
      <c r="H78" s="192">
        <f t="shared" si="18"/>
        <v>34459.623377371579</v>
      </c>
      <c r="I78" s="193">
        <f t="shared" si="19"/>
        <v>0.20812847439660553</v>
      </c>
      <c r="J78" s="109"/>
      <c r="K78" s="109"/>
      <c r="L78" s="188"/>
      <c r="M78" s="109"/>
      <c r="N78" s="109"/>
      <c r="O78" s="81"/>
      <c r="S78" s="10"/>
      <c r="V78" s="10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8"/>
      <c r="AI78" s="179"/>
      <c r="AJ78" s="18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65" x14ac:dyDescent="0.35">
      <c r="A79" s="3">
        <v>13</v>
      </c>
      <c r="B79" s="16" t="s">
        <v>67</v>
      </c>
      <c r="C79" s="158">
        <f>Bestämningsfaktorer!C19</f>
        <v>273283</v>
      </c>
      <c r="D79" s="40">
        <f>'Räddningskostnader som överförs'!L28</f>
        <v>26716273.828546263</v>
      </c>
      <c r="E79" s="117">
        <f>Taulukko29[[#This Row],[Kostnader för räddningsväsendet som överförs, €]]/Taulukko29[[#This Row],[Invånarantal]]</f>
        <v>97.760467458811064</v>
      </c>
      <c r="F79" s="191">
        <f>'Kalkylerade finansieringen av r'!F59</f>
        <v>23479096.416518703</v>
      </c>
      <c r="G79" s="192">
        <f t="shared" si="17"/>
        <v>85.914954155650747</v>
      </c>
      <c r="H79" s="192">
        <f t="shared" si="18"/>
        <v>-3237177.4120275602</v>
      </c>
      <c r="I79" s="193">
        <f t="shared" si="19"/>
        <v>-11.845513303160315</v>
      </c>
      <c r="J79" s="109"/>
      <c r="K79" s="109"/>
      <c r="L79" s="188"/>
      <c r="M79" s="109"/>
      <c r="N79" s="109"/>
      <c r="O79" s="81"/>
      <c r="S79" s="10"/>
      <c r="V79" s="10"/>
      <c r="W79" s="487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8"/>
      <c r="AI79" s="179"/>
      <c r="AJ79" s="18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5" x14ac:dyDescent="0.35">
      <c r="A80" s="3">
        <v>14</v>
      </c>
      <c r="B80" s="16" t="s">
        <v>69</v>
      </c>
      <c r="C80" s="158">
        <f>Bestämningsfaktorer!C20</f>
        <v>194316</v>
      </c>
      <c r="D80" s="40">
        <f>'Räddningskostnader som överförs'!L29</f>
        <v>19370492.400891967</v>
      </c>
      <c r="E80" s="117">
        <f>Taulukko29[[#This Row],[Kostnader för räddningsväsendet som överförs, €]]/Taulukko29[[#This Row],[Invånarantal]]</f>
        <v>99.685524613989415</v>
      </c>
      <c r="F80" s="191">
        <f>'Kalkylerade finansieringen av r'!F60</f>
        <v>17395242.908239115</v>
      </c>
      <c r="G80" s="192">
        <f t="shared" si="17"/>
        <v>89.520383850218792</v>
      </c>
      <c r="H80" s="192">
        <f t="shared" si="18"/>
        <v>-1975249.4926528521</v>
      </c>
      <c r="I80" s="193">
        <f t="shared" si="19"/>
        <v>-10.165140763770621</v>
      </c>
      <c r="J80" s="109"/>
      <c r="K80" s="109"/>
      <c r="L80" s="188"/>
      <c r="M80" s="109"/>
      <c r="N80" s="109"/>
      <c r="O80" s="81"/>
      <c r="S80" s="10"/>
      <c r="V80" s="10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8"/>
      <c r="AI80" s="179"/>
      <c r="AJ80" s="18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</row>
    <row r="81" spans="1:65" x14ac:dyDescent="0.35">
      <c r="A81" s="3">
        <v>15</v>
      </c>
      <c r="B81" s="16" t="s">
        <v>71</v>
      </c>
      <c r="C81" s="158">
        <f>Bestämningsfaktorer!C21</f>
        <v>176193</v>
      </c>
      <c r="D81" s="40">
        <f>'Räddningskostnader som överförs'!L30</f>
        <v>15284786.174877934</v>
      </c>
      <c r="E81" s="117">
        <f>Taulukko29[[#This Row],[Kostnader för räddningsväsendet som överförs, €]]/Taulukko29[[#This Row],[Invånarantal]]</f>
        <v>86.750246461993015</v>
      </c>
      <c r="F81" s="191">
        <f>'Kalkylerade finansieringen av r'!F61</f>
        <v>14149638.47003321</v>
      </c>
      <c r="G81" s="192">
        <f t="shared" si="17"/>
        <v>80.307608531741948</v>
      </c>
      <c r="H81" s="192">
        <f t="shared" si="18"/>
        <v>-1135147.7048447244</v>
      </c>
      <c r="I81" s="193">
        <f t="shared" si="19"/>
        <v>-6.4426379302510561</v>
      </c>
      <c r="J81" s="109"/>
      <c r="K81" s="109"/>
      <c r="L81" s="188"/>
      <c r="M81" s="109"/>
      <c r="N81" s="109"/>
      <c r="O81" s="81"/>
      <c r="S81" s="10"/>
      <c r="V81" s="10"/>
      <c r="W81" s="487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8"/>
      <c r="AI81" s="179"/>
      <c r="AJ81" s="18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x14ac:dyDescent="0.35">
      <c r="A82" s="3">
        <v>16</v>
      </c>
      <c r="B82" s="16" t="s">
        <v>73</v>
      </c>
      <c r="C82" s="158">
        <f>Bestämningsfaktorer!C22</f>
        <v>68437</v>
      </c>
      <c r="D82" s="40">
        <f>'Räddningskostnader som överförs'!L31</f>
        <v>6499987.1777495909</v>
      </c>
      <c r="E82" s="117">
        <f>Taulukko29[[#This Row],[Kostnader för räddningsväsendet som överförs, €]]/Taulukko29[[#This Row],[Invånarantal]]</f>
        <v>94.977675493513615</v>
      </c>
      <c r="F82" s="191">
        <f>'Kalkylerade finansieringen av r'!F62</f>
        <v>7226231.2816764712</v>
      </c>
      <c r="G82" s="192">
        <f t="shared" si="17"/>
        <v>105.58953901656226</v>
      </c>
      <c r="H82" s="192">
        <f t="shared" si="18"/>
        <v>726244.10392688029</v>
      </c>
      <c r="I82" s="193">
        <f t="shared" si="19"/>
        <v>10.611863523048648</v>
      </c>
      <c r="J82" s="109"/>
      <c r="K82" s="109"/>
      <c r="L82" s="188"/>
      <c r="M82" s="109"/>
      <c r="N82" s="109"/>
      <c r="O82" s="81"/>
      <c r="S82" s="10"/>
      <c r="V82" s="10"/>
      <c r="W82" s="487"/>
      <c r="X82" s="487"/>
      <c r="Y82" s="487"/>
      <c r="Z82" s="487"/>
      <c r="AA82" s="487"/>
      <c r="AB82" s="487"/>
      <c r="AC82" s="487"/>
      <c r="AD82" s="487"/>
      <c r="AE82" s="487"/>
      <c r="AF82" s="487"/>
      <c r="AG82" s="487"/>
      <c r="AH82" s="488"/>
      <c r="AI82" s="179"/>
      <c r="AJ82" s="18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</row>
    <row r="83" spans="1:65" x14ac:dyDescent="0.35">
      <c r="A83" s="3">
        <v>17</v>
      </c>
      <c r="B83" s="16" t="s">
        <v>75</v>
      </c>
      <c r="C83" s="158">
        <f>Bestämningsfaktorer!C23</f>
        <v>412161</v>
      </c>
      <c r="D83" s="40">
        <f>'Räddningskostnader som överförs'!L32</f>
        <v>34970461.627490975</v>
      </c>
      <c r="E83" s="117">
        <f>Taulukko29[[#This Row],[Kostnader för räddningsväsendet som överförs, €]]/Taulukko29[[#This Row],[Invånarantal]]</f>
        <v>84.846605155487723</v>
      </c>
      <c r="F83" s="191">
        <f>'Kalkylerade finansieringen av r'!F63</f>
        <v>32597981.346519854</v>
      </c>
      <c r="G83" s="192">
        <f t="shared" si="17"/>
        <v>79.090407259589952</v>
      </c>
      <c r="H83" s="192">
        <f t="shared" si="18"/>
        <v>-2372480.280971121</v>
      </c>
      <c r="I83" s="193">
        <f t="shared" si="19"/>
        <v>-5.7561978958977704</v>
      </c>
      <c r="J83" s="109"/>
      <c r="K83" s="109"/>
      <c r="L83" s="188"/>
      <c r="M83" s="109"/>
      <c r="N83" s="109"/>
      <c r="O83" s="81"/>
      <c r="S83" s="10"/>
      <c r="V83" s="10"/>
      <c r="W83" s="487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8"/>
      <c r="AI83" s="179"/>
      <c r="AJ83" s="18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</row>
    <row r="84" spans="1:65" x14ac:dyDescent="0.35">
      <c r="A84" s="3">
        <v>18</v>
      </c>
      <c r="B84" s="16" t="s">
        <v>77</v>
      </c>
      <c r="C84" s="158">
        <f>Bestämningsfaktorer!C24</f>
        <v>73061</v>
      </c>
      <c r="D84" s="40">
        <f>'Räddningskostnader som överförs'!L33</f>
        <v>7400434.3810672276</v>
      </c>
      <c r="E84" s="117">
        <f>Taulukko29[[#This Row],[Kostnader för räddningsväsendet som överförs, €]]/Taulukko29[[#This Row],[Invånarantal]]</f>
        <v>101.29117287016641</v>
      </c>
      <c r="F84" s="191">
        <f>'Kalkylerade finansieringen av r'!F64</f>
        <v>7704926.229412606</v>
      </c>
      <c r="G84" s="192">
        <f t="shared" si="17"/>
        <v>105.45881153300127</v>
      </c>
      <c r="H84" s="192">
        <f t="shared" si="18"/>
        <v>304491.84834537841</v>
      </c>
      <c r="I84" s="193">
        <f t="shared" si="19"/>
        <v>4.1676386628348698</v>
      </c>
      <c r="J84" s="109"/>
      <c r="K84" s="109"/>
      <c r="L84" s="188"/>
      <c r="M84" s="109"/>
      <c r="N84" s="109"/>
      <c r="O84" s="81"/>
      <c r="S84" s="10"/>
      <c r="V84" s="10"/>
      <c r="W84" s="487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8"/>
      <c r="AI84" s="179"/>
      <c r="AJ84" s="18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</row>
    <row r="85" spans="1:65" x14ac:dyDescent="0.35">
      <c r="A85" s="3">
        <v>19</v>
      </c>
      <c r="B85" s="16" t="s">
        <v>79</v>
      </c>
      <c r="C85" s="158">
        <f>Bestämningsfaktorer!C25</f>
        <v>178522</v>
      </c>
      <c r="D85" s="40">
        <f>'Räddningskostnader som överförs'!L34</f>
        <v>18426535.079323269</v>
      </c>
      <c r="E85" s="117">
        <f>Taulukko29[[#This Row],[Kostnader för räddningsväsendet som överförs, €]]/Taulukko29[[#This Row],[Invånarantal]]</f>
        <v>103.21716695602373</v>
      </c>
      <c r="F85" s="191">
        <f>'Kalkylerade finansieringen av r'!F65</f>
        <v>20443530.380309414</v>
      </c>
      <c r="G85" s="192">
        <f t="shared" si="17"/>
        <v>114.51546801127824</v>
      </c>
      <c r="H85" s="192">
        <f t="shared" si="18"/>
        <v>2016995.3009861447</v>
      </c>
      <c r="I85" s="193">
        <f t="shared" si="19"/>
        <v>11.298301055254505</v>
      </c>
      <c r="J85" s="109"/>
      <c r="K85" s="109"/>
      <c r="L85" s="188"/>
      <c r="M85" s="109"/>
      <c r="N85" s="109"/>
      <c r="O85" s="81"/>
      <c r="S85" s="10"/>
      <c r="V85" s="10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8"/>
      <c r="AI85" s="179"/>
      <c r="AJ85" s="18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</row>
    <row r="86" spans="1:65" x14ac:dyDescent="0.35">
      <c r="A86" s="175"/>
      <c r="B86" s="16" t="s">
        <v>35</v>
      </c>
      <c r="C86" s="81">
        <f>SUM(C64:C85)</f>
        <v>5488130</v>
      </c>
      <c r="D86" s="81">
        <f>SUM(D64:D85)</f>
        <v>458058076.00000006</v>
      </c>
      <c r="E86" s="117">
        <f>Taulukko29[[#This Row],[Kostnader för räddningsväsendet som överförs, €]]/Taulukko29[[#This Row],[Invånarantal]]</f>
        <v>83.463415771856731</v>
      </c>
      <c r="F86" s="81">
        <f>SUM(F64:F85)</f>
        <v>458058075.99999994</v>
      </c>
      <c r="G86" s="194">
        <f t="shared" si="17"/>
        <v>83.463415771856702</v>
      </c>
      <c r="H86" s="81">
        <f>SUM(H64:H85)</f>
        <v>-1.862645149230957E-8</v>
      </c>
      <c r="I86" s="193">
        <f t="shared" si="19"/>
        <v>-3.393952310223987E-15</v>
      </c>
      <c r="J86" s="109"/>
      <c r="K86" s="109"/>
      <c r="L86" s="188"/>
      <c r="M86" s="109"/>
      <c r="N86" s="109"/>
      <c r="O86" s="81"/>
      <c r="S86" s="10"/>
      <c r="V86" s="10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8"/>
      <c r="AI86" s="179"/>
      <c r="AJ86" s="18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</row>
    <row r="87" spans="1:65" x14ac:dyDescent="0.35">
      <c r="A87" s="9"/>
      <c r="B87" s="186"/>
      <c r="C87" s="187"/>
      <c r="D87" s="187"/>
      <c r="E87" s="187"/>
      <c r="F87" s="187"/>
      <c r="G87" s="187"/>
      <c r="H87" s="187"/>
      <c r="I87" s="109"/>
      <c r="J87" s="109"/>
      <c r="K87" s="109"/>
      <c r="L87" s="188"/>
      <c r="M87" s="109"/>
      <c r="N87" s="109"/>
      <c r="O87" s="81"/>
      <c r="S87" s="10"/>
      <c r="V87" s="10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8"/>
      <c r="AI87" s="179"/>
      <c r="AJ87" s="18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</row>
    <row r="88" spans="1:65" x14ac:dyDescent="0.35">
      <c r="A88" s="9"/>
      <c r="B88" s="186"/>
      <c r="C88" s="187"/>
      <c r="D88" s="187"/>
      <c r="E88" s="187"/>
      <c r="F88" s="187"/>
      <c r="G88" s="187"/>
      <c r="H88" s="187"/>
      <c r="I88" s="109"/>
      <c r="J88" s="109"/>
      <c r="K88" s="109"/>
      <c r="L88" s="188"/>
      <c r="M88" s="109"/>
      <c r="N88" s="109"/>
      <c r="O88" s="81"/>
      <c r="S88" s="10"/>
      <c r="V88" s="10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8"/>
      <c r="AI88" s="179"/>
      <c r="AJ88" s="18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</row>
    <row r="89" spans="1:65" x14ac:dyDescent="0.35">
      <c r="A89" s="17" t="s">
        <v>444</v>
      </c>
      <c r="B89" s="17"/>
      <c r="C89" s="17"/>
      <c r="D89" s="17"/>
      <c r="E89" s="17"/>
      <c r="F89" s="98"/>
      <c r="G89" s="98"/>
      <c r="H89" s="98"/>
      <c r="I89" s="98"/>
      <c r="J89" s="98"/>
      <c r="K89" s="98"/>
      <c r="L89" s="98"/>
      <c r="M89" s="98"/>
      <c r="N89" s="98"/>
      <c r="O89" s="98"/>
      <c r="S89" s="10"/>
      <c r="V89" s="10"/>
      <c r="W89" s="487"/>
      <c r="X89" s="487"/>
      <c r="Y89" s="487"/>
      <c r="Z89" s="487"/>
      <c r="AA89" s="487"/>
      <c r="AB89" s="487"/>
      <c r="AC89" s="487"/>
      <c r="AD89" s="487"/>
      <c r="AE89" s="487"/>
      <c r="AF89" s="487"/>
      <c r="AG89" s="487"/>
      <c r="AH89" s="488"/>
      <c r="AI89" s="179"/>
      <c r="AJ89" s="18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</row>
    <row r="90" spans="1:65" x14ac:dyDescent="0.35">
      <c r="A90" s="262" t="s">
        <v>22</v>
      </c>
      <c r="B90" s="262" t="s">
        <v>34</v>
      </c>
      <c r="C90" s="71" t="s">
        <v>372</v>
      </c>
      <c r="D90" s="269" t="s">
        <v>374</v>
      </c>
      <c r="E90" s="269" t="s">
        <v>375</v>
      </c>
      <c r="F90" s="269" t="s">
        <v>376</v>
      </c>
      <c r="G90" s="71" t="s">
        <v>377</v>
      </c>
      <c r="H90" s="71" t="s">
        <v>378</v>
      </c>
      <c r="I90" s="71" t="s">
        <v>379</v>
      </c>
      <c r="J90" s="71" t="s">
        <v>380</v>
      </c>
      <c r="K90" s="71" t="s">
        <v>381</v>
      </c>
      <c r="L90" s="71" t="s">
        <v>382</v>
      </c>
      <c r="M90" s="72" t="s">
        <v>815</v>
      </c>
      <c r="N90" s="270" t="s">
        <v>445</v>
      </c>
      <c r="O90" s="270" t="s">
        <v>446</v>
      </c>
      <c r="S90" s="10"/>
      <c r="V90" s="10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8"/>
      <c r="AI90" s="179"/>
      <c r="AJ90" s="18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</row>
    <row r="91" spans="1:65" x14ac:dyDescent="0.35">
      <c r="A91" s="99">
        <v>31</v>
      </c>
      <c r="B91" s="100" t="s">
        <v>37</v>
      </c>
      <c r="C91" s="63">
        <f>'Kalkylerad finansiering av soci'!C50+'Kalkylerade finansieringen av r'!C44</f>
        <v>342755008.53455848</v>
      </c>
      <c r="D91" s="40">
        <f>'Kalkylerad finansiering av soci'!D50</f>
        <v>985314106.23613572</v>
      </c>
      <c r="E91" s="40">
        <f>'Kalkylerad finansiering av soci'!E50</f>
        <v>266863343.37706622</v>
      </c>
      <c r="F91" s="40">
        <f>'Kalkylerad finansiering av soci'!F50</f>
        <v>319208342.89806134</v>
      </c>
      <c r="G91" s="40">
        <f>'Kalkylerad finansiering av soci'!G50</f>
        <v>101536359.79133669</v>
      </c>
      <c r="H91" s="40">
        <f>'Kalkylerad finansiering av soci'!H50</f>
        <v>14014602.968875796</v>
      </c>
      <c r="I91" s="63">
        <f>'Kalkylerad finansiering av soci'!I50+'Kalkylerade finansieringen av r'!D44</f>
        <v>249539.85384772005</v>
      </c>
      <c r="J91" s="40">
        <f>'Kalkylerad finansiering av soci'!J50</f>
        <v>0</v>
      </c>
      <c r="K91" s="40">
        <f>'Kalkylerad finansiering av soci'!K50</f>
        <v>24143816.338582415</v>
      </c>
      <c r="L91" s="40">
        <f>'Kalkylerad finansiering av soci'!L50</f>
        <v>0</v>
      </c>
      <c r="M91" s="63">
        <f>'Kalkylerade finansieringen av r'!E44</f>
        <v>7529158.1953293392</v>
      </c>
      <c r="N91" s="101">
        <f t="shared" ref="N91:N112" si="20">SUM(C91:M91)</f>
        <v>2061614278.193794</v>
      </c>
      <c r="O91" s="26">
        <f>N91/C10</f>
        <v>3181.2973205344624</v>
      </c>
      <c r="S91" s="10"/>
      <c r="V91" s="10"/>
      <c r="W91" s="487"/>
      <c r="X91" s="487"/>
      <c r="Y91" s="487"/>
      <c r="Z91" s="487"/>
      <c r="AA91" s="487"/>
      <c r="AB91" s="487"/>
      <c r="AC91" s="487"/>
      <c r="AD91" s="487"/>
      <c r="AE91" s="487"/>
      <c r="AF91" s="487"/>
      <c r="AG91" s="487"/>
      <c r="AH91" s="488"/>
      <c r="AI91" s="179"/>
      <c r="AJ91" s="18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</row>
    <row r="92" spans="1:65" x14ac:dyDescent="0.35">
      <c r="A92" s="99">
        <v>32</v>
      </c>
      <c r="B92" s="100" t="s">
        <v>39</v>
      </c>
      <c r="C92" s="63">
        <f>'Kalkylerad finansiering av soci'!C51+'Kalkylerade finansieringen av r'!C45</f>
        <v>139854020.81455824</v>
      </c>
      <c r="D92" s="40">
        <f>'Kalkylerad finansiering av soci'!D51</f>
        <v>402548564.19954598</v>
      </c>
      <c r="E92" s="40">
        <f>'Kalkylerad finansiering av soci'!E51</f>
        <v>74727547.49670513</v>
      </c>
      <c r="F92" s="40">
        <f>'Kalkylerad finansiering av soci'!F51</f>
        <v>131382477.4938525</v>
      </c>
      <c r="G92" s="40">
        <f>'Kalkylerad finansiering av soci'!G51</f>
        <v>46887711.011524111</v>
      </c>
      <c r="H92" s="40">
        <f>'Kalkylerad finansiering av soci'!H51</f>
        <v>2310896.1291026687</v>
      </c>
      <c r="I92" s="63">
        <f>'Kalkylerad finansiering av soci'!I51+'Kalkylerade finansieringen av r'!D45</f>
        <v>275341.25535161095</v>
      </c>
      <c r="J92" s="40">
        <f>'Kalkylerad finansiering av soci'!J51</f>
        <v>0</v>
      </c>
      <c r="K92" s="40">
        <f>'Kalkylerad finansiering av soci'!K51</f>
        <v>10760971.940492956</v>
      </c>
      <c r="L92" s="40">
        <f>'Kalkylerad finansiering av soci'!L51</f>
        <v>0</v>
      </c>
      <c r="M92" s="63">
        <f>'Kalkylerade finansieringen av r'!E45</f>
        <v>6212584.0846706582</v>
      </c>
      <c r="N92" s="101">
        <f t="shared" si="20"/>
        <v>814960114.42580402</v>
      </c>
      <c r="O92" s="26">
        <f t="shared" ref="O92:O113" si="21">N92/C11</f>
        <v>3082.0668422426593</v>
      </c>
      <c r="S92" s="10"/>
      <c r="V92" s="10"/>
      <c r="W92" s="487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8"/>
      <c r="AI92" s="179"/>
      <c r="AJ92" s="18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</row>
    <row r="93" spans="1:65" x14ac:dyDescent="0.35">
      <c r="A93" s="99">
        <v>33</v>
      </c>
      <c r="B93" s="100" t="s">
        <v>41</v>
      </c>
      <c r="C93" s="63">
        <f>'Kalkylerad finansiering av soci'!C52+'Kalkylerade finansieringen av r'!C46</f>
        <v>245573336.25384247</v>
      </c>
      <c r="D93" s="40">
        <f>'Kalkylerad finansiering av soci'!D52</f>
        <v>683959901.75212181</v>
      </c>
      <c r="E93" s="40">
        <f>'Kalkylerad finansiering av soci'!E52</f>
        <v>150567179.89207497</v>
      </c>
      <c r="F93" s="40">
        <f>'Kalkylerad finansiering av soci'!F52</f>
        <v>206565288.5951978</v>
      </c>
      <c r="G93" s="40">
        <f>'Kalkylerad finansiering av soci'!G52</f>
        <v>58000121.456057929</v>
      </c>
      <c r="H93" s="40">
        <f>'Kalkylerad finansiering av soci'!H52</f>
        <v>22193656.150913976</v>
      </c>
      <c r="I93" s="63">
        <f>'Kalkylerad finansiering av soci'!I52+'Kalkylerade finansieringen av r'!D46</f>
        <v>4561092.5473815491</v>
      </c>
      <c r="J93" s="40">
        <f>'Kalkylerad finansiering av soci'!J52</f>
        <v>0</v>
      </c>
      <c r="K93" s="40">
        <f>'Kalkylerad finansiering av soci'!K52</f>
        <v>15587096.208086176</v>
      </c>
      <c r="L93" s="40">
        <f>'Kalkylerad finansiering av soci'!L52</f>
        <v>0</v>
      </c>
      <c r="M93" s="63">
        <f>'Kalkylerade finansieringen av r'!E46</f>
        <v>10614878.767185625</v>
      </c>
      <c r="N93" s="101">
        <f t="shared" si="20"/>
        <v>1397622551.6228626</v>
      </c>
      <c r="O93" s="26">
        <f t="shared" si="21"/>
        <v>3010.1583702479475</v>
      </c>
      <c r="S93" s="10"/>
      <c r="V93" s="10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8"/>
      <c r="AI93" s="179"/>
      <c r="AJ93" s="18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</row>
    <row r="94" spans="1:65" x14ac:dyDescent="0.35">
      <c r="A94" s="99">
        <v>34</v>
      </c>
      <c r="B94" s="100" t="s">
        <v>43</v>
      </c>
      <c r="C94" s="63">
        <f>'Kalkylerad finansiering av soci'!C53+'Kalkylerade finansieringen av r'!C47</f>
        <v>51443240.399691321</v>
      </c>
      <c r="D94" s="40">
        <f>'Kalkylerad finansiering av soci'!D53</f>
        <v>161211465.75722739</v>
      </c>
      <c r="E94" s="40">
        <f>'Kalkylerad finansiering av soci'!E53</f>
        <v>48703299.801966965</v>
      </c>
      <c r="F94" s="40">
        <f>'Kalkylerad finansiering av soci'!F53</f>
        <v>49476120.037156679</v>
      </c>
      <c r="G94" s="40">
        <f>'Kalkylerad finansiering av soci'!G53</f>
        <v>5425576.5639544604</v>
      </c>
      <c r="H94" s="40">
        <f>'Kalkylerad finansiering av soci'!H53</f>
        <v>10938778.73860601</v>
      </c>
      <c r="I94" s="63">
        <f>'Kalkylerad finansiering av soci'!I53+'Kalkylerade finansieringen av r'!D47</f>
        <v>2935392.5651179394</v>
      </c>
      <c r="J94" s="40">
        <f>'Kalkylerad finansiering av soci'!J53</f>
        <v>0</v>
      </c>
      <c r="K94" s="40">
        <f>'Kalkylerad finansiering av soci'!K53</f>
        <v>3880696.8432519692</v>
      </c>
      <c r="L94" s="40">
        <f>'Kalkylerad finansiering av soci'!L53</f>
        <v>0</v>
      </c>
      <c r="M94" s="63">
        <f>'Kalkylerade finansieringen av r'!E47</f>
        <v>2386290.5755688618</v>
      </c>
      <c r="N94" s="101">
        <f t="shared" si="20"/>
        <v>336400861.28254163</v>
      </c>
      <c r="O94" s="26">
        <f t="shared" si="21"/>
        <v>3458.6724785637048</v>
      </c>
      <c r="S94" s="10"/>
      <c r="V94" s="10"/>
      <c r="W94" s="487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8"/>
      <c r="AI94" s="179"/>
      <c r="AJ94" s="18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</row>
    <row r="95" spans="1:65" x14ac:dyDescent="0.35">
      <c r="A95" s="102">
        <v>35</v>
      </c>
      <c r="B95" s="103" t="s">
        <v>45</v>
      </c>
      <c r="C95" s="45">
        <f>'Kalkylerad finansiering av soci'!C54+'Kalkylerade finansieringen av r'!C48</f>
        <v>104193414.03224239</v>
      </c>
      <c r="D95" s="40">
        <f>'Kalkylerad finansiering av soci'!D54</f>
        <v>313155229.56585711</v>
      </c>
      <c r="E95" s="40">
        <f>'Kalkylerad finansiering av soci'!E54</f>
        <v>77768572.023764402</v>
      </c>
      <c r="F95" s="40">
        <f>'Kalkylerad finansiering av soci'!F54</f>
        <v>99867424.793782532</v>
      </c>
      <c r="G95" s="40">
        <f>'Kalkylerad finansiering av soci'!G54</f>
        <v>9923789.3704235964</v>
      </c>
      <c r="H95" s="40">
        <f>'Kalkylerad finansiering av soci'!H54</f>
        <v>0</v>
      </c>
      <c r="I95" s="63">
        <f>'Kalkylerad finansiering av soci'!I54+'Kalkylerade finansieringen av r'!D48</f>
        <v>1710247.12497614</v>
      </c>
      <c r="J95" s="40">
        <f>'Kalkylerad finansiering av soci'!J54</f>
        <v>0</v>
      </c>
      <c r="K95" s="40">
        <f>'Kalkylerad finansiering av soci'!K54</f>
        <v>7475185.5192063255</v>
      </c>
      <c r="L95" s="40">
        <f>'Kalkylerad finansiering av soci'!L54</f>
        <v>0</v>
      </c>
      <c r="M95" s="63">
        <f>'Kalkylerade finansieringen av r'!E48</f>
        <v>5595439.9702993995</v>
      </c>
      <c r="N95" s="195">
        <f t="shared" si="20"/>
        <v>619689302.40055168</v>
      </c>
      <c r="O95" s="26">
        <f t="shared" si="21"/>
        <v>3145.6788803918421</v>
      </c>
      <c r="S95" s="10"/>
      <c r="V95" s="10"/>
      <c r="W95" s="487"/>
      <c r="X95" s="487"/>
      <c r="Y95" s="487"/>
      <c r="Z95" s="487"/>
      <c r="AA95" s="487"/>
      <c r="AB95" s="487"/>
      <c r="AC95" s="487"/>
      <c r="AD95" s="487"/>
      <c r="AE95" s="487"/>
      <c r="AF95" s="487"/>
      <c r="AG95" s="487"/>
      <c r="AH95" s="488"/>
      <c r="AI95" s="179"/>
      <c r="AJ95" s="18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</row>
    <row r="96" spans="1:65" x14ac:dyDescent="0.35">
      <c r="A96" s="3">
        <v>2</v>
      </c>
      <c r="B96" s="16" t="s">
        <v>47</v>
      </c>
      <c r="C96" s="63">
        <f>'Kalkylerad finansiering av soci'!C55+'Kalkylerade finansieringen av r'!C49</f>
        <v>253126151.53722456</v>
      </c>
      <c r="D96" s="40">
        <f>'Kalkylerad finansiering av soci'!D55</f>
        <v>834919034.02027404</v>
      </c>
      <c r="E96" s="40">
        <f>'Kalkylerad finansiering av soci'!E55</f>
        <v>301178986.60376072</v>
      </c>
      <c r="F96" s="40">
        <f>'Kalkylerad finansiering av soci'!F55</f>
        <v>291807411.4865073</v>
      </c>
      <c r="G96" s="40">
        <f>'Kalkylerad finansiering av soci'!G55</f>
        <v>34084108.16624286</v>
      </c>
      <c r="H96" s="40">
        <f>'Kalkylerad finansiering av soci'!H55</f>
        <v>10410541.02782009</v>
      </c>
      <c r="I96" s="63">
        <f>'Kalkylerad finansiering av soci'!I55+'Kalkylerade finansieringen av r'!D49</f>
        <v>11508141.299840502</v>
      </c>
      <c r="J96" s="40">
        <f>'Kalkylerad finansiering av soci'!J55</f>
        <v>14143840.471635196</v>
      </c>
      <c r="K96" s="40">
        <f>'Kalkylerad finansiering av soci'!K55</f>
        <v>15150170.89717282</v>
      </c>
      <c r="L96" s="40">
        <f>'Kalkylerad finansiering av soci'!L55</f>
        <v>0</v>
      </c>
      <c r="M96" s="63">
        <f>'Kalkylerade finansieringen av r'!E49</f>
        <v>13659456.398083828</v>
      </c>
      <c r="N96" s="101">
        <f t="shared" si="20"/>
        <v>1779987841.9085619</v>
      </c>
      <c r="O96" s="26">
        <f t="shared" si="21"/>
        <v>3719.2954225369153</v>
      </c>
      <c r="S96" s="10"/>
      <c r="V96" s="10"/>
      <c r="W96" s="487"/>
      <c r="X96" s="487"/>
      <c r="Y96" s="487"/>
      <c r="Z96" s="487"/>
      <c r="AA96" s="487"/>
      <c r="AB96" s="487"/>
      <c r="AC96" s="487"/>
      <c r="AD96" s="487"/>
      <c r="AE96" s="487"/>
      <c r="AF96" s="487"/>
      <c r="AG96" s="487"/>
      <c r="AH96" s="488"/>
      <c r="AI96" s="179"/>
      <c r="AJ96" s="18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</row>
    <row r="97" spans="1:65" x14ac:dyDescent="0.35">
      <c r="A97" s="3">
        <v>4</v>
      </c>
      <c r="B97" s="16" t="s">
        <v>49</v>
      </c>
      <c r="C97" s="63">
        <f>'Kalkylerad finansiering av soci'!C56+'Kalkylerade finansieringen av r'!C50</f>
        <v>115632121.04440656</v>
      </c>
      <c r="D97" s="40">
        <f>'Kalkylerad finansiering av soci'!D56</f>
        <v>391328366.66436416</v>
      </c>
      <c r="E97" s="40">
        <f>'Kalkylerad finansiering av soci'!E56</f>
        <v>156395949.63985085</v>
      </c>
      <c r="F97" s="40">
        <f>'Kalkylerad finansiering av soci'!F56</f>
        <v>147565934.32089168</v>
      </c>
      <c r="G97" s="40">
        <f>'Kalkylerad finansiering av soci'!G56</f>
        <v>7610365.803363434</v>
      </c>
      <c r="H97" s="40">
        <f>'Kalkylerad finansiering av soci'!H56</f>
        <v>0</v>
      </c>
      <c r="I97" s="63">
        <f>'Kalkylerad finansiering av soci'!I56+'Kalkylerade finansieringen av r'!D50</f>
        <v>8231840.9745508488</v>
      </c>
      <c r="J97" s="40">
        <f>'Kalkylerad finansiering av soci'!J56</f>
        <v>0</v>
      </c>
      <c r="K97" s="40">
        <f>'Kalkylerad finansiering av soci'!K56</f>
        <v>10999940.751949871</v>
      </c>
      <c r="L97" s="40">
        <f>'Kalkylerad finansiering av soci'!L56</f>
        <v>0</v>
      </c>
      <c r="M97" s="63">
        <f>'Kalkylerade finansieringen av r'!E50</f>
        <v>7570301.1362874219</v>
      </c>
      <c r="N97" s="101">
        <f t="shared" si="20"/>
        <v>845334820.33566487</v>
      </c>
      <c r="O97" s="26">
        <f t="shared" si="21"/>
        <v>3866.6149202999895</v>
      </c>
      <c r="S97" s="10"/>
      <c r="V97" s="10"/>
      <c r="W97" s="487"/>
      <c r="X97" s="487"/>
      <c r="Y97" s="487"/>
      <c r="Z97" s="487"/>
      <c r="AA97" s="487"/>
      <c r="AB97" s="487"/>
      <c r="AC97" s="487"/>
      <c r="AD97" s="487"/>
      <c r="AE97" s="487"/>
      <c r="AF97" s="487"/>
      <c r="AG97" s="487"/>
      <c r="AH97" s="488"/>
      <c r="AI97" s="179"/>
      <c r="AJ97" s="18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</row>
    <row r="98" spans="1:65" x14ac:dyDescent="0.35">
      <c r="A98" s="3">
        <v>5</v>
      </c>
      <c r="B98" s="16" t="s">
        <v>51</v>
      </c>
      <c r="C98" s="63">
        <f>'Kalkylerad finansiering av soci'!C57+'Kalkylerade finansieringen av r'!C51</f>
        <v>90635899.035118222</v>
      </c>
      <c r="D98" s="40">
        <f>'Kalkylerad finansiering av soci'!D57</f>
        <v>310244803.71300447</v>
      </c>
      <c r="E98" s="40">
        <f>'Kalkylerad finansiering av soci'!E57</f>
        <v>108248924.47577281</v>
      </c>
      <c r="F98" s="40">
        <f>'Kalkylerad finansiering av soci'!F57</f>
        <v>105504801.67017972</v>
      </c>
      <c r="G98" s="40">
        <f>'Kalkylerad finansiering av soci'!G57</f>
        <v>6981154.4797362946</v>
      </c>
      <c r="H98" s="40">
        <f>'Kalkylerad finansiering av soci'!H57</f>
        <v>0</v>
      </c>
      <c r="I98" s="63">
        <f>'Kalkylerad finansiering av soci'!I57+'Kalkylerade finansieringen av r'!D51</f>
        <v>5349633.5951209068</v>
      </c>
      <c r="J98" s="40">
        <f>'Kalkylerad finansiering av soci'!J57</f>
        <v>0</v>
      </c>
      <c r="K98" s="40">
        <f>'Kalkylerad finansiering av soci'!K57</f>
        <v>5482454.2572133122</v>
      </c>
      <c r="L98" s="40">
        <f>'Kalkylerad finansiering av soci'!L57</f>
        <v>0</v>
      </c>
      <c r="M98" s="63">
        <f>'Kalkylerade finansieringen av r'!E51</f>
        <v>5101724.6788023943</v>
      </c>
      <c r="N98" s="101">
        <f t="shared" si="20"/>
        <v>637549395.90494812</v>
      </c>
      <c r="O98" s="26">
        <f t="shared" si="21"/>
        <v>3720.4395083270006</v>
      </c>
      <c r="S98" s="10"/>
      <c r="V98" s="10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8"/>
      <c r="AI98" s="179"/>
      <c r="AJ98" s="18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</row>
    <row r="99" spans="1:65" x14ac:dyDescent="0.35">
      <c r="A99" s="3">
        <v>6</v>
      </c>
      <c r="B99" s="16" t="s">
        <v>53</v>
      </c>
      <c r="C99" s="63">
        <f>'Kalkylerad finansiering av soci'!C58+'Kalkylerade finansieringen av r'!C52</f>
        <v>273621889.98584777</v>
      </c>
      <c r="D99" s="40">
        <f>'Kalkylerad finansiering av soci'!D58</f>
        <v>887232187.49648654</v>
      </c>
      <c r="E99" s="40">
        <f>'Kalkylerad finansiering av soci'!E58</f>
        <v>302845781.58060271</v>
      </c>
      <c r="F99" s="40">
        <f>'Kalkylerad finansiering av soci'!F58</f>
        <v>302390165.13545793</v>
      </c>
      <c r="G99" s="40">
        <f>'Kalkylerad finansiering av soci'!G58</f>
        <v>24926141.76974263</v>
      </c>
      <c r="H99" s="40">
        <f>'Kalkylerad finansiering av soci'!H58</f>
        <v>0</v>
      </c>
      <c r="I99" s="63">
        <f>'Kalkylerad finansiering av soci'!I58+'Kalkylerade finansieringen av r'!D52</f>
        <v>13628489.908705316</v>
      </c>
      <c r="J99" s="40">
        <f>'Kalkylerad finansiering av soci'!J58</f>
        <v>0</v>
      </c>
      <c r="K99" s="40">
        <f>'Kalkylerad finansiering av soci'!K58</f>
        <v>16884651.860510565</v>
      </c>
      <c r="L99" s="40">
        <f>'Kalkylerad finansiering av soci'!L58</f>
        <v>0</v>
      </c>
      <c r="M99" s="63">
        <f>'Kalkylerade finansieringen av r'!E52</f>
        <v>12795454.63796407</v>
      </c>
      <c r="N99" s="101">
        <f t="shared" si="20"/>
        <v>1834324762.3753176</v>
      </c>
      <c r="O99" s="26">
        <f t="shared" si="21"/>
        <v>3545.7331397287967</v>
      </c>
      <c r="S99" s="10"/>
      <c r="V99" s="10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8"/>
      <c r="AI99" s="179"/>
      <c r="AJ99" s="18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</row>
    <row r="100" spans="1:65" x14ac:dyDescent="0.35">
      <c r="A100" s="3">
        <v>7</v>
      </c>
      <c r="B100" s="16" t="s">
        <v>55</v>
      </c>
      <c r="C100" s="63">
        <f>'Kalkylerad finansiering av soci'!C59+'Kalkylerade finansieringen av r'!C53</f>
        <v>109692477.09255916</v>
      </c>
      <c r="D100" s="40">
        <f>'Kalkylerad finansiering av soci'!D59</f>
        <v>380896004.75519609</v>
      </c>
      <c r="E100" s="40">
        <f>'Kalkylerad finansiering av soci'!E59</f>
        <v>137000905.77254876</v>
      </c>
      <c r="F100" s="40">
        <f>'Kalkylerad finansiering av soci'!F59</f>
        <v>133335691.15320721</v>
      </c>
      <c r="G100" s="40">
        <f>'Kalkylerad finansiering av soci'!G59</f>
        <v>10674654.864387522</v>
      </c>
      <c r="H100" s="40">
        <f>'Kalkylerad finansiering av soci'!H59</f>
        <v>0</v>
      </c>
      <c r="I100" s="63">
        <f>'Kalkylerad finansiering av soci'!I59+'Kalkylerade finansieringen av r'!D53</f>
        <v>5878485.2203052007</v>
      </c>
      <c r="J100" s="40">
        <f>'Kalkylerad finansiering av soci'!J59</f>
        <v>0</v>
      </c>
      <c r="K100" s="40">
        <f>'Kalkylerad finansiering av soci'!K59</f>
        <v>5882773.6947366623</v>
      </c>
      <c r="L100" s="40">
        <f>'Kalkylerad finansiering av soci'!L59</f>
        <v>0</v>
      </c>
      <c r="M100" s="63">
        <f>'Kalkylerade finansieringen av r'!E53</f>
        <v>6377155.8485029927</v>
      </c>
      <c r="N100" s="101">
        <f t="shared" si="20"/>
        <v>789738148.4014436</v>
      </c>
      <c r="O100" s="26">
        <f t="shared" si="21"/>
        <v>3807.9122269759182</v>
      </c>
      <c r="S100" s="10"/>
      <c r="V100" s="10"/>
      <c r="W100" s="487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8"/>
      <c r="AI100" s="179"/>
      <c r="AJ100" s="18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</row>
    <row r="101" spans="1:65" x14ac:dyDescent="0.35">
      <c r="A101" s="3">
        <v>8</v>
      </c>
      <c r="B101" s="16" t="s">
        <v>57</v>
      </c>
      <c r="C101" s="63">
        <f>'Kalkylerad finansiering av soci'!C60+'Kalkylerade finansieringen av r'!C54</f>
        <v>88128343.204690039</v>
      </c>
      <c r="D101" s="40">
        <f>'Kalkylerad finansiering av soci'!D60</f>
        <v>310687713.64072633</v>
      </c>
      <c r="E101" s="40">
        <f>'Kalkylerad finansiering av soci'!E60</f>
        <v>137147321.6716755</v>
      </c>
      <c r="F101" s="40">
        <f>'Kalkylerad finansiering av soci'!F60</f>
        <v>114403294.14404412</v>
      </c>
      <c r="G101" s="40">
        <f>'Kalkylerad finansiering av soci'!G60</f>
        <v>10084332.988654926</v>
      </c>
      <c r="H101" s="40">
        <f>'Kalkylerad finansiering av soci'!H60</f>
        <v>488341.76167790458</v>
      </c>
      <c r="I101" s="63">
        <f>'Kalkylerad finansiering av soci'!I60+'Kalkylerade finansieringen av r'!D54</f>
        <v>4837484.7708482808</v>
      </c>
      <c r="J101" s="40">
        <f>'Kalkylerad finansiering av soci'!J60</f>
        <v>0</v>
      </c>
      <c r="K101" s="40">
        <f>'Kalkylerad finansiering av soci'!K60</f>
        <v>5989861.6833225787</v>
      </c>
      <c r="L101" s="40">
        <f>'Kalkylerad finansiering av soci'!L60</f>
        <v>0</v>
      </c>
      <c r="M101" s="63">
        <f>'Kalkylerade finansieringen av r'!E54</f>
        <v>6006869.3798802383</v>
      </c>
      <c r="N101" s="101">
        <f t="shared" si="20"/>
        <v>677773563.24551988</v>
      </c>
      <c r="O101" s="26">
        <f t="shared" si="21"/>
        <v>4067.7071187382285</v>
      </c>
      <c r="S101" s="10"/>
      <c r="V101" s="10"/>
      <c r="W101" s="487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8"/>
      <c r="AI101" s="179"/>
      <c r="AJ101" s="18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</row>
    <row r="102" spans="1:65" x14ac:dyDescent="0.35">
      <c r="A102" s="3">
        <v>9</v>
      </c>
      <c r="B102" s="16" t="s">
        <v>59</v>
      </c>
      <c r="C102" s="63">
        <f>'Kalkylerad finansiering av soci'!C61+'Kalkylerade finansieringen av r'!C55</f>
        <v>68100159.98789525</v>
      </c>
      <c r="D102" s="40">
        <f>'Kalkylerad finansiering av soci'!D61</f>
        <v>232818233.95529258</v>
      </c>
      <c r="E102" s="40">
        <f>'Kalkylerad finansiering av soci'!E61</f>
        <v>94004580.848902121</v>
      </c>
      <c r="F102" s="40">
        <f>'Kalkylerad finansiering av soci'!F61</f>
        <v>82477000.917294905</v>
      </c>
      <c r="G102" s="40">
        <f>'Kalkylerad finansiering av soci'!G61</f>
        <v>7851679.813375744</v>
      </c>
      <c r="H102" s="40">
        <f>'Kalkylerad finansiering av soci'!H61</f>
        <v>0</v>
      </c>
      <c r="I102" s="63">
        <f>'Kalkylerad finansiering av soci'!I61+'Kalkylerade finansieringen av r'!D55</f>
        <v>5565174.7659694776</v>
      </c>
      <c r="J102" s="40">
        <f>'Kalkylerad finansiering av soci'!J61</f>
        <v>0</v>
      </c>
      <c r="K102" s="40">
        <f>'Kalkylerad finansiering av soci'!K61</f>
        <v>4341622.239561514</v>
      </c>
      <c r="L102" s="40">
        <f>'Kalkylerad finansiering av soci'!L61</f>
        <v>0</v>
      </c>
      <c r="M102" s="63">
        <f>'Kalkylerade finansieringen av r'!E55</f>
        <v>4155437.0367664662</v>
      </c>
      <c r="N102" s="101">
        <f t="shared" si="20"/>
        <v>499313889.56505805</v>
      </c>
      <c r="O102" s="26">
        <f t="shared" si="21"/>
        <v>3877.9854108939239</v>
      </c>
      <c r="S102" s="10"/>
      <c r="V102" s="10"/>
      <c r="W102" s="487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8"/>
      <c r="AI102" s="179"/>
      <c r="AJ102" s="18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</row>
    <row r="103" spans="1:65" x14ac:dyDescent="0.35">
      <c r="A103" s="9">
        <v>10</v>
      </c>
      <c r="B103" s="155" t="s">
        <v>61</v>
      </c>
      <c r="C103" s="63">
        <f>'Kalkylerad finansiering av soci'!C62+'Kalkylerade finansieringen av r'!C56</f>
        <v>72182276.819627956</v>
      </c>
      <c r="D103" s="63">
        <f>'Kalkylerad finansiering av soci'!D62</f>
        <v>270613958.52907896</v>
      </c>
      <c r="E103" s="63">
        <f>'Kalkylerad finansiering av soci'!E62</f>
        <v>116232410.06310086</v>
      </c>
      <c r="F103" s="63">
        <f>'Kalkylerad finansiering av soci'!F62</f>
        <v>104947132.7934467</v>
      </c>
      <c r="G103" s="63">
        <f>'Kalkylerad finansiering av soci'!G62</f>
        <v>4511175.9557673186</v>
      </c>
      <c r="H103" s="63">
        <f>'Kalkylerad finansiering av soci'!H62</f>
        <v>0</v>
      </c>
      <c r="I103" s="63">
        <f>'Kalkylerad finansiering av soci'!I62+'Kalkylerade finansieringen av r'!D56</f>
        <v>13313612.207944896</v>
      </c>
      <c r="J103" s="40">
        <f>'Kalkylerad finansiering av soci'!J62</f>
        <v>3773397.5528714624</v>
      </c>
      <c r="K103" s="40">
        <f>'Kalkylerad finansiering av soci'!K62</f>
        <v>4811507.9981268076</v>
      </c>
      <c r="L103" s="40">
        <f>'Kalkylerad finansiering av soci'!L62</f>
        <v>0</v>
      </c>
      <c r="M103" s="63">
        <f>'Kalkylerade finansieringen av r'!E56</f>
        <v>4320008.800598802</v>
      </c>
      <c r="N103" s="196">
        <f t="shared" si="20"/>
        <v>594705480.72056377</v>
      </c>
      <c r="O103" s="26">
        <f t="shared" si="21"/>
        <v>4357.6467365253729</v>
      </c>
      <c r="S103" s="10"/>
      <c r="V103" s="10"/>
      <c r="W103" s="487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8"/>
      <c r="AI103" s="179"/>
      <c r="AJ103" s="18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</row>
    <row r="104" spans="1:65" x14ac:dyDescent="0.35">
      <c r="A104" s="9">
        <v>11</v>
      </c>
      <c r="B104" s="155" t="s">
        <v>63</v>
      </c>
      <c r="C104" s="63">
        <f>'Kalkylerad finansiering av soci'!C63+'Kalkylerade finansieringen av r'!C57</f>
        <v>132446126.49669765</v>
      </c>
      <c r="D104" s="63">
        <f>'Kalkylerad finansiering av soci'!D63</f>
        <v>474295895.24419081</v>
      </c>
      <c r="E104" s="63">
        <f>'Kalkylerad finansiering av soci'!E63</f>
        <v>176936507.94504973</v>
      </c>
      <c r="F104" s="63">
        <f>'Kalkylerad finansiering av soci'!F63</f>
        <v>186155791.41503718</v>
      </c>
      <c r="G104" s="63">
        <f>'Kalkylerad finansiering av soci'!G63</f>
        <v>7501674.782324831</v>
      </c>
      <c r="H104" s="63">
        <f>'Kalkylerad finansiering av soci'!H63</f>
        <v>0</v>
      </c>
      <c r="I104" s="63">
        <f>'Kalkylerad finansiering av soci'!I63+'Kalkylerade finansieringen av r'!D57</f>
        <v>17928632.159341883</v>
      </c>
      <c r="J104" s="40">
        <f>'Kalkylerad finansiering av soci'!J63</f>
        <v>0</v>
      </c>
      <c r="K104" s="40">
        <f>'Kalkylerad finansiering av soci'!K63</f>
        <v>9114902.5895056389</v>
      </c>
      <c r="L104" s="40">
        <f>'Kalkylerad finansiering av soci'!L63</f>
        <v>0</v>
      </c>
      <c r="M104" s="63">
        <f>'Kalkylerade finansieringen av r'!E57</f>
        <v>5965726.4389221547</v>
      </c>
      <c r="N104" s="196">
        <f t="shared" si="20"/>
        <v>1010345257.07107</v>
      </c>
      <c r="O104" s="26">
        <f t="shared" si="21"/>
        <v>4034.6995658033097</v>
      </c>
      <c r="S104" s="10"/>
      <c r="V104" s="10"/>
      <c r="W104" s="487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8"/>
      <c r="AI104" s="179"/>
      <c r="AJ104" s="18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</row>
    <row r="105" spans="1:65" x14ac:dyDescent="0.35">
      <c r="A105" s="9">
        <v>12</v>
      </c>
      <c r="B105" s="155" t="s">
        <v>65</v>
      </c>
      <c r="C105" s="63">
        <f>'Kalkylerad finansiering av soci'!C64+'Kalkylerade finansieringen av r'!C58</f>
        <v>87570873.505202323</v>
      </c>
      <c r="D105" s="63">
        <f>'Kalkylerad finansiering av soci'!D64</f>
        <v>318806820.66553926</v>
      </c>
      <c r="E105" s="63">
        <f>'Kalkylerad finansiering av soci'!E64</f>
        <v>123187694.63499123</v>
      </c>
      <c r="F105" s="63">
        <f>'Kalkylerad finansiering av soci'!F64</f>
        <v>131094619.02940518</v>
      </c>
      <c r="G105" s="63">
        <f>'Kalkylerad finansiering av soci'!G64</f>
        <v>6090685.8394842576</v>
      </c>
      <c r="H105" s="63">
        <f>'Kalkylerad finansiering av soci'!H64</f>
        <v>0</v>
      </c>
      <c r="I105" s="63">
        <f>'Kalkylerad finansiering av soci'!I64+'Kalkylerade finansieringen av r'!D58</f>
        <v>19394346.579748027</v>
      </c>
      <c r="J105" s="40">
        <f>'Kalkylerad finansiering av soci'!J64</f>
        <v>0</v>
      </c>
      <c r="K105" s="40">
        <f>'Kalkylerad finansiering av soci'!K64</f>
        <v>5252965.5685409587</v>
      </c>
      <c r="L105" s="40">
        <f>'Kalkylerad finansiering av soci'!L64</f>
        <v>0</v>
      </c>
      <c r="M105" s="63">
        <f>'Kalkylerade finansieringen av r'!E58</f>
        <v>4608009.3873053882</v>
      </c>
      <c r="N105" s="101">
        <f t="shared" si="20"/>
        <v>696006015.21021652</v>
      </c>
      <c r="O105" s="26">
        <f t="shared" si="21"/>
        <v>4203.7218030562271</v>
      </c>
      <c r="S105" s="10"/>
      <c r="V105" s="10"/>
      <c r="W105" s="487"/>
      <c r="X105" s="487"/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8"/>
      <c r="AI105" s="179"/>
      <c r="AJ105" s="18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</row>
    <row r="106" spans="1:65" x14ac:dyDescent="0.35">
      <c r="A106" s="9">
        <v>13</v>
      </c>
      <c r="B106" s="155" t="s">
        <v>67</v>
      </c>
      <c r="C106" s="63">
        <f>'Kalkylerad finansiering av soci'!C65+'Kalkylerade finansieringen av r'!C59</f>
        <v>144541738.03140807</v>
      </c>
      <c r="D106" s="63">
        <f>'Kalkylerad finansiering av soci'!D65</f>
        <v>477817993.15428954</v>
      </c>
      <c r="E106" s="63">
        <f>'Kalkylerad finansiering av soci'!E65</f>
        <v>168482480.21988913</v>
      </c>
      <c r="F106" s="63">
        <f>'Kalkylerad finansiering av soci'!F65</f>
        <v>176952331.03106475</v>
      </c>
      <c r="G106" s="63">
        <f>'Kalkylerad finansiering av soci'!G65</f>
        <v>9074204.5087273642</v>
      </c>
      <c r="H106" s="63">
        <f>'Kalkylerad finansiering av soci'!H65</f>
        <v>0</v>
      </c>
      <c r="I106" s="63">
        <f>'Kalkylerad finansiering av soci'!I65+'Kalkylerade finansieringen av r'!D59</f>
        <v>16649572.081735333</v>
      </c>
      <c r="J106" s="40">
        <f>'Kalkylerad finansiering av soci'!J65</f>
        <v>0</v>
      </c>
      <c r="K106" s="40">
        <f>'Kalkylerad finansiering av soci'!K65</f>
        <v>8343310.1907911496</v>
      </c>
      <c r="L106" s="40">
        <f>'Kalkylerad finansiering av soci'!L65</f>
        <v>0</v>
      </c>
      <c r="M106" s="63">
        <f>'Kalkylerade finansieringen av r'!E59</f>
        <v>7446872.3134131711</v>
      </c>
      <c r="N106" s="101">
        <f t="shared" si="20"/>
        <v>1009308501.5313184</v>
      </c>
      <c r="O106" s="26">
        <f t="shared" si="21"/>
        <v>3693.2721813333374</v>
      </c>
      <c r="S106" s="10"/>
      <c r="V106" s="10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8"/>
      <c r="AI106" s="179"/>
      <c r="AJ106" s="18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</row>
    <row r="107" spans="1:65" x14ac:dyDescent="0.35">
      <c r="A107" s="9">
        <v>14</v>
      </c>
      <c r="B107" s="155" t="s">
        <v>69</v>
      </c>
      <c r="C107" s="63">
        <f>'Kalkylerad finansiering av soci'!C66+'Kalkylerade finansieringen av r'!C60</f>
        <v>102775409.98639172</v>
      </c>
      <c r="D107" s="63">
        <f>'Kalkylerad finansiering av soci'!D66</f>
        <v>362833096.20664865</v>
      </c>
      <c r="E107" s="63">
        <f>'Kalkylerad finansiering av soci'!E66</f>
        <v>141850685.95228463</v>
      </c>
      <c r="F107" s="63">
        <f>'Kalkylerad finansiering av soci'!F66</f>
        <v>128165714.48243229</v>
      </c>
      <c r="G107" s="63">
        <f>'Kalkylerad finansiering av soci'!G66</f>
        <v>4135244.6261200421</v>
      </c>
      <c r="H107" s="63">
        <f>'Kalkylerad finansiering av soci'!H66</f>
        <v>0</v>
      </c>
      <c r="I107" s="63">
        <f>'Kalkylerad finansiering av soci'!I66+'Kalkylerade finansieringen av r'!D60</f>
        <v>14129606.768375449</v>
      </c>
      <c r="J107" s="40">
        <f>'Kalkylerad finansiering av soci'!J66</f>
        <v>0</v>
      </c>
      <c r="K107" s="40">
        <f>'Kalkylerad finansiering av soci'!K66</f>
        <v>7322233.2411315367</v>
      </c>
      <c r="L107" s="40">
        <f>'Kalkylerad finansiering av soci'!L66</f>
        <v>0</v>
      </c>
      <c r="M107" s="63">
        <f>'Kalkylerade finansieringen av r'!E60</f>
        <v>6006869.3798802374</v>
      </c>
      <c r="N107" s="101">
        <f t="shared" si="20"/>
        <v>767218860.64326441</v>
      </c>
      <c r="O107" s="26">
        <f t="shared" si="21"/>
        <v>3948.3051351574982</v>
      </c>
      <c r="S107" s="10"/>
      <c r="V107" s="10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8"/>
      <c r="AI107" s="179"/>
      <c r="AJ107" s="18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</row>
    <row r="108" spans="1:65" x14ac:dyDescent="0.35">
      <c r="A108" s="9">
        <v>15</v>
      </c>
      <c r="B108" s="155" t="s">
        <v>71</v>
      </c>
      <c r="C108" s="63">
        <f>'Kalkylerad finansiering av soci'!C67+'Kalkylerade finansieringen av r'!C61</f>
        <v>93189998.825275928</v>
      </c>
      <c r="D108" s="63">
        <f>'Kalkylerad finansiering av soci'!D67</f>
        <v>280916588.50746644</v>
      </c>
      <c r="E108" s="63">
        <f>'Kalkylerad finansiering av soci'!E67</f>
        <v>99973737.839475378</v>
      </c>
      <c r="F108" s="63">
        <f>'Kalkylerad finansiering av soci'!F67</f>
        <v>89255865.772883028</v>
      </c>
      <c r="G108" s="63">
        <f>'Kalkylerad finansiering av soci'!G67</f>
        <v>12174391.521654109</v>
      </c>
      <c r="H108" s="63">
        <f>'Kalkylerad finansiering av soci'!H67</f>
        <v>34296322.481767245</v>
      </c>
      <c r="I108" s="63">
        <f>'Kalkylerad finansiering av soci'!I67+'Kalkylerade finansieringen av r'!D61</f>
        <v>8177262.7328568343</v>
      </c>
      <c r="J108" s="40">
        <f>'Kalkylerad finansiering av soci'!J67</f>
        <v>3406860.3422913617</v>
      </c>
      <c r="K108" s="40">
        <f>'Kalkylerad finansiering av soci'!K67</f>
        <v>6054335.6352392351</v>
      </c>
      <c r="L108" s="40">
        <f>'Kalkylerad finansiering av soci'!L67</f>
        <v>0</v>
      </c>
      <c r="M108" s="63">
        <f>'Kalkylerade finansieringen av r'!E61</f>
        <v>3538292.9223952093</v>
      </c>
      <c r="N108" s="101">
        <f t="shared" si="20"/>
        <v>630983656.58130491</v>
      </c>
      <c r="O108" s="26">
        <f t="shared" si="21"/>
        <v>3581.2072930326681</v>
      </c>
      <c r="S108" s="10"/>
      <c r="V108" s="10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8"/>
      <c r="AI108" s="179"/>
      <c r="AJ108" s="18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</row>
    <row r="109" spans="1:65" x14ac:dyDescent="0.35">
      <c r="A109" s="9">
        <v>16</v>
      </c>
      <c r="B109" s="155" t="s">
        <v>73</v>
      </c>
      <c r="C109" s="63">
        <f>'Kalkylerad finansiering av soci'!C68+'Kalkylerade finansieringen av r'!C62</f>
        <v>36196920.136471987</v>
      </c>
      <c r="D109" s="63">
        <f>'Kalkylerad finansiering av soci'!D68</f>
        <v>122175570.78850755</v>
      </c>
      <c r="E109" s="63">
        <f>'Kalkylerad finansiering av soci'!E68</f>
        <v>42866537.425005548</v>
      </c>
      <c r="F109" s="63">
        <f>'Kalkylerad finansiering av soci'!F68</f>
        <v>44724409.603142858</v>
      </c>
      <c r="G109" s="63">
        <f>'Kalkylerad finansiering av soci'!G68</f>
        <v>1978376.0159686913</v>
      </c>
      <c r="H109" s="63">
        <f>'Kalkylerad finansiering av soci'!H68</f>
        <v>2373041.7421363061</v>
      </c>
      <c r="I109" s="63">
        <f>'Kalkylerad finansiering av soci'!I68+'Kalkylerade finansieringen av r'!D62</f>
        <v>5383291.013123286</v>
      </c>
      <c r="J109" s="40">
        <f>'Kalkylerad finansiering av soci'!J68</f>
        <v>0</v>
      </c>
      <c r="K109" s="40">
        <f>'Kalkylerad finansiering av soci'!K68</f>
        <v>2755064.3414744334</v>
      </c>
      <c r="L109" s="40">
        <f>'Kalkylerad finansiering av soci'!L68</f>
        <v>0</v>
      </c>
      <c r="M109" s="63">
        <f>'Kalkylerade finansieringen av r'!E62</f>
        <v>2962291.7489820351</v>
      </c>
      <c r="N109" s="101">
        <f t="shared" si="20"/>
        <v>261415502.81481269</v>
      </c>
      <c r="O109" s="26">
        <f t="shared" si="21"/>
        <v>3819.7978113420036</v>
      </c>
      <c r="S109" s="10"/>
      <c r="V109" s="10"/>
      <c r="W109" s="487"/>
      <c r="X109" s="487"/>
      <c r="Y109" s="487"/>
      <c r="Z109" s="487"/>
      <c r="AA109" s="487"/>
      <c r="AB109" s="487"/>
      <c r="AC109" s="487"/>
      <c r="AD109" s="487"/>
      <c r="AE109" s="487"/>
      <c r="AF109" s="487"/>
      <c r="AG109" s="487"/>
      <c r="AH109" s="488"/>
      <c r="AI109" s="179"/>
      <c r="AJ109" s="18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</row>
    <row r="110" spans="1:65" x14ac:dyDescent="0.35">
      <c r="A110" s="9">
        <v>17</v>
      </c>
      <c r="B110" s="155" t="s">
        <v>75</v>
      </c>
      <c r="C110" s="63">
        <f>'Kalkylerad finansiering av soci'!C69+'Kalkylerade finansieringen av r'!C63</f>
        <v>217995511.20546535</v>
      </c>
      <c r="D110" s="63">
        <f>'Kalkylerad finansiering av soci'!D69</f>
        <v>684762191.78514147</v>
      </c>
      <c r="E110" s="63">
        <f>'Kalkylerad finansiering av soci'!E69</f>
        <v>217806872.15041575</v>
      </c>
      <c r="F110" s="63">
        <f>'Kalkylerad finansiering av soci'!F69</f>
        <v>282811308.96668631</v>
      </c>
      <c r="G110" s="63">
        <f>'Kalkylerad finansiering av soci'!G69</f>
        <v>11632930.747122355</v>
      </c>
      <c r="H110" s="63">
        <f>'Kalkylerad finansiering av soci'!H69</f>
        <v>0</v>
      </c>
      <c r="I110" s="63">
        <f>'Kalkylerad finansiering av soci'!I69+'Kalkylerade finansieringen av r'!D63</f>
        <v>38070093.01727251</v>
      </c>
      <c r="J110" s="40">
        <f>'Kalkylerad finansiering av soci'!J69</f>
        <v>603818.53940537886</v>
      </c>
      <c r="K110" s="40">
        <f>'Kalkylerad finansiering av soci'!K69</f>
        <v>14821856.672711473</v>
      </c>
      <c r="L110" s="40">
        <f>'Kalkylerad finansiering av soci'!L69</f>
        <v>0</v>
      </c>
      <c r="M110" s="63">
        <f>'Kalkylerade finansieringen av r'!E63</f>
        <v>7611444.0772455083</v>
      </c>
      <c r="N110" s="101">
        <f t="shared" si="20"/>
        <v>1476116027.1614656</v>
      </c>
      <c r="O110" s="26">
        <f t="shared" si="21"/>
        <v>3581.4063610129674</v>
      </c>
      <c r="S110" s="10"/>
      <c r="V110" s="10"/>
      <c r="W110" s="487"/>
      <c r="X110" s="487"/>
      <c r="Y110" s="487"/>
      <c r="Z110" s="487"/>
      <c r="AA110" s="487"/>
      <c r="AB110" s="487"/>
      <c r="AC110" s="487"/>
      <c r="AD110" s="487"/>
      <c r="AE110" s="487"/>
      <c r="AF110" s="487"/>
      <c r="AG110" s="487"/>
      <c r="AH110" s="488"/>
      <c r="AI110" s="179"/>
      <c r="AJ110" s="18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</row>
    <row r="111" spans="1:65" x14ac:dyDescent="0.35">
      <c r="A111" s="9">
        <v>18</v>
      </c>
      <c r="B111" s="155" t="s">
        <v>77</v>
      </c>
      <c r="C111" s="63">
        <f>'Kalkylerad finansiering av soci'!C70+'Kalkylerade finansieringen av r'!C64</f>
        <v>38642593.656805232</v>
      </c>
      <c r="D111" s="63">
        <f>'Kalkylerad finansiering av soci'!D70</f>
        <v>139114892.76861814</v>
      </c>
      <c r="E111" s="63">
        <f>'Kalkylerad finansiering av soci'!E70</f>
        <v>59464692.197813325</v>
      </c>
      <c r="F111" s="63">
        <f>'Kalkylerad finansiering av soci'!F70</f>
        <v>57725896.323454551</v>
      </c>
      <c r="G111" s="63">
        <f>'Kalkylerad finansiering av soci'!G70</f>
        <v>1996324.9919200202</v>
      </c>
      <c r="H111" s="63">
        <f>'Kalkylerad finansiering av soci'!H70</f>
        <v>0</v>
      </c>
      <c r="I111" s="63">
        <f>'Kalkylerad finansiering av soci'!I70+'Kalkylerade finansieringen av r'!D64</f>
        <v>20921311.06482261</v>
      </c>
      <c r="J111" s="40">
        <f>'Kalkylerad finansiering av soci'!J70</f>
        <v>0</v>
      </c>
      <c r="K111" s="40">
        <f>'Kalkylerad finansiering av soci'!K70</f>
        <v>2836672.2724076738</v>
      </c>
      <c r="L111" s="40">
        <f>'Kalkylerad finansiering av soci'!L70</f>
        <v>0</v>
      </c>
      <c r="M111" s="63">
        <f>'Kalkylerade finansieringen av r'!E64</f>
        <v>2262861.75269461</v>
      </c>
      <c r="N111" s="101">
        <f t="shared" si="20"/>
        <v>322965245.02853614</v>
      </c>
      <c r="O111" s="26">
        <f t="shared" si="21"/>
        <v>4420.4876066374145</v>
      </c>
      <c r="S111" s="10"/>
      <c r="V111" s="10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8"/>
      <c r="AI111" s="179"/>
      <c r="AJ111" s="18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</row>
    <row r="112" spans="1:65" x14ac:dyDescent="0.35">
      <c r="A112" s="9">
        <v>19</v>
      </c>
      <c r="B112" s="155" t="s">
        <v>79</v>
      </c>
      <c r="C112" s="63">
        <f>'Kalkylerad finansiering av soci'!C71+'Kalkylerade finansieringen av r'!C65</f>
        <v>94421827.032208487</v>
      </c>
      <c r="D112" s="63">
        <f>'Kalkylerad finansiering av soci'!D71</f>
        <v>324752685.4955256</v>
      </c>
      <c r="E112" s="63">
        <f>'Kalkylerad finansiering av soci'!E71</f>
        <v>124276231.06720351</v>
      </c>
      <c r="F112" s="63">
        <f>'Kalkylerad finansiering av soci'!F71</f>
        <v>142812315.40226123</v>
      </c>
      <c r="G112" s="63">
        <f>'Kalkylerad finansiering av soci'!G71</f>
        <v>5023718.9357108204</v>
      </c>
      <c r="H112" s="63">
        <f>'Kalkylerad finansiering av soci'!H71</f>
        <v>0</v>
      </c>
      <c r="I112" s="63">
        <f>'Kalkylerad finansiering av soci'!I71+'Kalkylerade finansieringen av r'!D65</f>
        <v>95282855.295463622</v>
      </c>
      <c r="J112" s="40">
        <f>'Kalkylerad finansiering av soci'!J71</f>
        <v>0</v>
      </c>
      <c r="K112" s="40">
        <f>'Kalkylerad finansiering av soci'!K71</f>
        <v>6160271.257783995</v>
      </c>
      <c r="L112" s="40">
        <f>'Kalkylerad finansiering av soci'!L71</f>
        <v>2500000</v>
      </c>
      <c r="M112" s="63">
        <f>'Kalkylerade finansieringen av r'!E65</f>
        <v>4690295.2692215554</v>
      </c>
      <c r="N112" s="101">
        <f t="shared" si="20"/>
        <v>799920199.75537884</v>
      </c>
      <c r="O112" s="26">
        <f t="shared" si="21"/>
        <v>4480.7934022438631</v>
      </c>
      <c r="S112" s="10"/>
      <c r="V112" s="10"/>
      <c r="W112" s="487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8"/>
      <c r="AI112" s="179"/>
      <c r="AJ112" s="18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</row>
    <row r="113" spans="1:65" x14ac:dyDescent="0.35">
      <c r="A113" s="9"/>
      <c r="B113" s="155" t="s">
        <v>35</v>
      </c>
      <c r="C113" s="26">
        <f t="shared" ref="C113:N113" si="22">SUM(C91:C112)</f>
        <v>2902719337.6181889</v>
      </c>
      <c r="D113" s="26">
        <f t="shared" si="22"/>
        <v>9350405304.9012375</v>
      </c>
      <c r="E113" s="26">
        <f t="shared" si="22"/>
        <v>3126530242.6799202</v>
      </c>
      <c r="F113" s="26">
        <f t="shared" si="22"/>
        <v>3328629337.4654479</v>
      </c>
      <c r="G113" s="26">
        <f t="shared" si="22"/>
        <v>388104724.00360006</v>
      </c>
      <c r="H113" s="26">
        <f t="shared" si="22"/>
        <v>97026181.000899985</v>
      </c>
      <c r="I113" s="81">
        <f t="shared" si="22"/>
        <v>313981446.80269992</v>
      </c>
      <c r="J113" s="81">
        <f t="shared" si="22"/>
        <v>21927916.9062034</v>
      </c>
      <c r="K113" s="81">
        <f t="shared" si="22"/>
        <v>194052362.00180009</v>
      </c>
      <c r="L113" s="81">
        <f t="shared" si="22"/>
        <v>2500000</v>
      </c>
      <c r="M113" s="81">
        <f t="shared" si="22"/>
        <v>137417422.79999998</v>
      </c>
      <c r="N113" s="101">
        <f t="shared" si="22"/>
        <v>19863294276.18</v>
      </c>
      <c r="O113" s="26">
        <f t="shared" si="21"/>
        <v>3619.3191991042486</v>
      </c>
      <c r="S113" s="10"/>
      <c r="V113" s="10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8"/>
      <c r="AI113" s="179"/>
      <c r="AJ113" s="18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</row>
    <row r="114" spans="1:65" ht="31" x14ac:dyDescent="0.35">
      <c r="A114" s="9"/>
      <c r="B114" s="186" t="s">
        <v>447</v>
      </c>
      <c r="C114" s="187">
        <f t="shared" ref="C114:N114" si="23">C113/$N$113</f>
        <v>0.14613484033708954</v>
      </c>
      <c r="D114" s="187">
        <f t="shared" si="23"/>
        <v>0.47073789346786316</v>
      </c>
      <c r="E114" s="187">
        <f t="shared" si="23"/>
        <v>0.15740240260293809</v>
      </c>
      <c r="F114" s="187">
        <f t="shared" si="23"/>
        <v>0.16757690296403299</v>
      </c>
      <c r="G114" s="187">
        <f t="shared" si="23"/>
        <v>1.9538789417675496E-2</v>
      </c>
      <c r="H114" s="187">
        <f t="shared" si="23"/>
        <v>4.8846973544188731E-3</v>
      </c>
      <c r="I114" s="109">
        <f t="shared" si="23"/>
        <v>1.5807118519067881E-2</v>
      </c>
      <c r="J114" s="109">
        <f t="shared" si="23"/>
        <v>1.1039416020986654E-3</v>
      </c>
      <c r="K114" s="109">
        <f t="shared" si="23"/>
        <v>9.7693947088377513E-3</v>
      </c>
      <c r="L114" s="188">
        <f t="shared" si="23"/>
        <v>1.2586029110981818E-4</v>
      </c>
      <c r="M114" s="109">
        <f t="shared" si="23"/>
        <v>6.9181587348675858E-3</v>
      </c>
      <c r="N114" s="109">
        <f t="shared" si="23"/>
        <v>1</v>
      </c>
      <c r="O114" s="81"/>
      <c r="S114" s="10"/>
      <c r="V114" s="10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8"/>
      <c r="AI114" s="179"/>
      <c r="AJ114" s="18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</row>
    <row r="115" spans="1:65" x14ac:dyDescent="0.35">
      <c r="A115" s="9"/>
      <c r="B115" s="155"/>
      <c r="C115" s="187"/>
      <c r="D115" s="187"/>
      <c r="E115" s="187"/>
      <c r="F115" s="187"/>
      <c r="G115" s="187"/>
      <c r="H115" s="187"/>
      <c r="I115" s="109"/>
      <c r="J115" s="109"/>
      <c r="K115" s="109"/>
      <c r="L115" s="188"/>
      <c r="M115" s="109"/>
      <c r="N115" s="109"/>
      <c r="O115" s="81"/>
      <c r="S115" s="10"/>
      <c r="V115" s="10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8"/>
      <c r="AI115" s="179"/>
      <c r="AJ115" s="18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</row>
    <row r="116" spans="1:65" x14ac:dyDescent="0.35">
      <c r="A116" s="9"/>
      <c r="B116" s="155"/>
      <c r="C116" s="187"/>
      <c r="D116" s="187"/>
      <c r="E116" s="187"/>
      <c r="F116" s="187"/>
      <c r="G116" s="187"/>
      <c r="H116" s="187"/>
      <c r="I116" s="109"/>
      <c r="J116" s="109"/>
      <c r="K116" s="109"/>
      <c r="L116" s="188"/>
      <c r="M116" s="109"/>
      <c r="N116" s="109"/>
      <c r="O116" s="81"/>
      <c r="S116" s="10"/>
      <c r="V116" s="10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8"/>
      <c r="AI116" s="179"/>
      <c r="AJ116" s="18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</row>
    <row r="117" spans="1:65" x14ac:dyDescent="0.35">
      <c r="A117" s="17" t="s">
        <v>448</v>
      </c>
      <c r="B117" s="17"/>
      <c r="C117" s="17"/>
      <c r="D117" s="17"/>
      <c r="E117" s="17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S117" s="10"/>
      <c r="V117" s="10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8"/>
      <c r="AI117" s="179"/>
      <c r="AJ117" s="18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</row>
    <row r="118" spans="1:65" x14ac:dyDescent="0.35">
      <c r="A118" s="262" t="s">
        <v>22</v>
      </c>
      <c r="B118" s="262" t="s">
        <v>34</v>
      </c>
      <c r="C118" s="71" t="s">
        <v>372</v>
      </c>
      <c r="D118" s="269" t="s">
        <v>374</v>
      </c>
      <c r="E118" s="269" t="s">
        <v>375</v>
      </c>
      <c r="F118" s="269" t="s">
        <v>376</v>
      </c>
      <c r="G118" s="71" t="s">
        <v>377</v>
      </c>
      <c r="H118" s="71" t="s">
        <v>378</v>
      </c>
      <c r="I118" s="71" t="s">
        <v>379</v>
      </c>
      <c r="J118" s="71" t="s">
        <v>380</v>
      </c>
      <c r="K118" s="71" t="s">
        <v>381</v>
      </c>
      <c r="L118" s="71" t="s">
        <v>382</v>
      </c>
      <c r="M118" s="71" t="s">
        <v>815</v>
      </c>
      <c r="N118" s="270" t="s">
        <v>446</v>
      </c>
      <c r="O118" s="270" t="s">
        <v>780</v>
      </c>
      <c r="S118" s="10"/>
      <c r="V118" s="10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8"/>
      <c r="AI118" s="179"/>
      <c r="AJ118" s="18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</row>
    <row r="119" spans="1:65" x14ac:dyDescent="0.35">
      <c r="A119" s="99">
        <v>31</v>
      </c>
      <c r="B119" s="100" t="s">
        <v>37</v>
      </c>
      <c r="C119" s="63">
        <f t="shared" ref="C119:N119" si="24">C91/$C10</f>
        <v>528.9086332900622</v>
      </c>
      <c r="D119" s="63">
        <f t="shared" si="24"/>
        <v>1520.4479126910535</v>
      </c>
      <c r="E119" s="63">
        <f t="shared" si="24"/>
        <v>411.79945648131792</v>
      </c>
      <c r="F119" s="63">
        <f t="shared" si="24"/>
        <v>492.5735413724131</v>
      </c>
      <c r="G119" s="63">
        <f t="shared" si="24"/>
        <v>156.68175795910864</v>
      </c>
      <c r="H119" s="63">
        <f t="shared" si="24"/>
        <v>21.626072027547281</v>
      </c>
      <c r="I119" s="63">
        <f t="shared" si="24"/>
        <v>0.38506740897614666</v>
      </c>
      <c r="J119" s="63">
        <f t="shared" si="24"/>
        <v>0</v>
      </c>
      <c r="K119" s="63">
        <f t="shared" si="24"/>
        <v>37.256561054040347</v>
      </c>
      <c r="L119" s="63">
        <f t="shared" si="24"/>
        <v>0</v>
      </c>
      <c r="M119" s="63">
        <f t="shared" si="24"/>
        <v>11.618318249942657</v>
      </c>
      <c r="N119" s="26">
        <f t="shared" si="24"/>
        <v>3181.2973205344624</v>
      </c>
      <c r="O119" s="26">
        <f>SUM(C119:M119)</f>
        <v>3181.2973205344624</v>
      </c>
      <c r="Q119" s="40"/>
      <c r="S119" s="10"/>
      <c r="V119" s="10"/>
      <c r="W119" s="487"/>
      <c r="X119" s="487"/>
      <c r="Y119" s="487"/>
      <c r="Z119" s="487"/>
      <c r="AA119" s="487"/>
      <c r="AB119" s="487"/>
      <c r="AC119" s="487"/>
      <c r="AD119" s="487"/>
      <c r="AE119" s="487"/>
      <c r="AF119" s="487"/>
      <c r="AG119" s="487"/>
      <c r="AH119" s="488"/>
      <c r="AI119" s="179"/>
      <c r="AJ119" s="18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</row>
    <row r="120" spans="1:65" x14ac:dyDescent="0.35">
      <c r="A120" s="99">
        <v>32</v>
      </c>
      <c r="B120" s="100" t="s">
        <v>39</v>
      </c>
      <c r="C120" s="63">
        <f t="shared" ref="C120:N120" si="25">C92/$C11</f>
        <v>528.9086332900622</v>
      </c>
      <c r="D120" s="63">
        <f t="shared" si="25"/>
        <v>1522.3831941590877</v>
      </c>
      <c r="E120" s="63">
        <f t="shared" si="25"/>
        <v>282.6092863501442</v>
      </c>
      <c r="F120" s="63">
        <f t="shared" si="25"/>
        <v>496.87042392350236</v>
      </c>
      <c r="G120" s="63">
        <f t="shared" si="25"/>
        <v>177.32286140051474</v>
      </c>
      <c r="H120" s="63">
        <f t="shared" si="25"/>
        <v>8.7394906932254326</v>
      </c>
      <c r="I120" s="63">
        <f t="shared" si="25"/>
        <v>1.041302682670036</v>
      </c>
      <c r="J120" s="63">
        <f t="shared" si="25"/>
        <v>0</v>
      </c>
      <c r="K120" s="63">
        <f t="shared" si="25"/>
        <v>40.696512898014355</v>
      </c>
      <c r="L120" s="63">
        <f t="shared" si="25"/>
        <v>0</v>
      </c>
      <c r="M120" s="63">
        <f t="shared" si="25"/>
        <v>23.495136845437781</v>
      </c>
      <c r="N120" s="26">
        <f t="shared" si="25"/>
        <v>3082.0668422426593</v>
      </c>
      <c r="O120" s="26">
        <f t="shared" ref="O120:O141" si="26">SUM(C120:M120)</f>
        <v>3082.0668422426579</v>
      </c>
      <c r="Q120" s="40"/>
      <c r="S120" s="10"/>
      <c r="V120" s="10"/>
      <c r="W120" s="487"/>
      <c r="X120" s="487"/>
      <c r="Y120" s="487"/>
      <c r="Z120" s="487"/>
      <c r="AA120" s="487"/>
      <c r="AB120" s="487"/>
      <c r="AC120" s="487"/>
      <c r="AD120" s="487"/>
      <c r="AE120" s="487"/>
      <c r="AF120" s="487"/>
      <c r="AG120" s="487"/>
      <c r="AH120" s="488"/>
      <c r="AI120" s="179"/>
      <c r="AJ120" s="18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</row>
    <row r="121" spans="1:65" x14ac:dyDescent="0.35">
      <c r="A121" s="99">
        <v>33</v>
      </c>
      <c r="B121" s="100" t="s">
        <v>41</v>
      </c>
      <c r="C121" s="63">
        <f t="shared" ref="C121:N121" si="27">C93/$C12</f>
        <v>528.9086332900622</v>
      </c>
      <c r="D121" s="63">
        <f t="shared" si="27"/>
        <v>1473.0927322133477</v>
      </c>
      <c r="E121" s="63">
        <f t="shared" si="27"/>
        <v>324.28716631002015</v>
      </c>
      <c r="F121" s="63">
        <f t="shared" si="27"/>
        <v>444.89424683761388</v>
      </c>
      <c r="G121" s="63">
        <f t="shared" si="27"/>
        <v>124.91895674810345</v>
      </c>
      <c r="H121" s="63">
        <f t="shared" si="27"/>
        <v>47.800044261954454</v>
      </c>
      <c r="I121" s="63">
        <f t="shared" si="27"/>
        <v>9.8235470607095152</v>
      </c>
      <c r="J121" s="63">
        <f t="shared" si="27"/>
        <v>0</v>
      </c>
      <c r="K121" s="63">
        <f t="shared" si="27"/>
        <v>33.571029648991768</v>
      </c>
      <c r="L121" s="63">
        <f t="shared" si="27"/>
        <v>0</v>
      </c>
      <c r="M121" s="63">
        <f t="shared" si="27"/>
        <v>22.862013877143809</v>
      </c>
      <c r="N121" s="26">
        <f t="shared" si="27"/>
        <v>3010.1583702479475</v>
      </c>
      <c r="O121" s="26">
        <f t="shared" si="26"/>
        <v>3010.1583702479475</v>
      </c>
      <c r="Q121" s="40"/>
      <c r="S121" s="10"/>
      <c r="V121" s="10"/>
      <c r="W121" s="487"/>
      <c r="X121" s="487"/>
      <c r="Y121" s="487"/>
      <c r="Z121" s="487"/>
      <c r="AA121" s="487"/>
      <c r="AB121" s="487"/>
      <c r="AC121" s="487"/>
      <c r="AD121" s="487"/>
      <c r="AE121" s="487"/>
      <c r="AF121" s="487"/>
      <c r="AG121" s="487"/>
      <c r="AH121" s="488"/>
      <c r="AI121" s="179"/>
      <c r="AJ121" s="18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</row>
    <row r="122" spans="1:65" x14ac:dyDescent="0.35">
      <c r="A122" s="99">
        <v>34</v>
      </c>
      <c r="B122" s="100" t="s">
        <v>43</v>
      </c>
      <c r="C122" s="63">
        <f t="shared" ref="C122:N122" si="28">C94/$C13</f>
        <v>528.9086332900622</v>
      </c>
      <c r="D122" s="63">
        <f t="shared" si="28"/>
        <v>1657.4798819409991</v>
      </c>
      <c r="E122" s="63">
        <f t="shared" si="28"/>
        <v>500.73820262553039</v>
      </c>
      <c r="F122" s="63">
        <f t="shared" si="28"/>
        <v>508.68387811559052</v>
      </c>
      <c r="G122" s="63">
        <f t="shared" si="28"/>
        <v>55.782533583731329</v>
      </c>
      <c r="H122" s="63">
        <f t="shared" si="28"/>
        <v>112.46598129407904</v>
      </c>
      <c r="I122" s="63">
        <f t="shared" si="28"/>
        <v>30.179950907518165</v>
      </c>
      <c r="J122" s="63">
        <f t="shared" si="28"/>
        <v>0</v>
      </c>
      <c r="K122" s="63">
        <f t="shared" si="28"/>
        <v>39.899004176839796</v>
      </c>
      <c r="L122" s="63">
        <f t="shared" si="28"/>
        <v>0</v>
      </c>
      <c r="M122" s="63">
        <f t="shared" si="28"/>
        <v>24.534412629354037</v>
      </c>
      <c r="N122" s="26">
        <f t="shared" si="28"/>
        <v>3458.6724785637048</v>
      </c>
      <c r="O122" s="26">
        <f t="shared" si="26"/>
        <v>3458.6724785637048</v>
      </c>
      <c r="Q122" s="40"/>
      <c r="S122" s="10"/>
      <c r="V122" s="10"/>
      <c r="W122" s="487"/>
      <c r="X122" s="487"/>
      <c r="Y122" s="487"/>
      <c r="Z122" s="487"/>
      <c r="AA122" s="487"/>
      <c r="AB122" s="487"/>
      <c r="AC122" s="487"/>
      <c r="AD122" s="487"/>
      <c r="AE122" s="487"/>
      <c r="AF122" s="487"/>
      <c r="AG122" s="487"/>
      <c r="AH122" s="488"/>
      <c r="AI122" s="179"/>
      <c r="AJ122" s="18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</row>
    <row r="123" spans="1:65" x14ac:dyDescent="0.35">
      <c r="A123" s="102">
        <v>35</v>
      </c>
      <c r="B123" s="103" t="s">
        <v>45</v>
      </c>
      <c r="C123" s="63">
        <f t="shared" ref="C123:N123" si="29">C95/$C14</f>
        <v>528.9086332900622</v>
      </c>
      <c r="D123" s="63">
        <f t="shared" si="29"/>
        <v>1589.6446624357584</v>
      </c>
      <c r="E123" s="63">
        <f t="shared" si="29"/>
        <v>394.77033672474403</v>
      </c>
      <c r="F123" s="63">
        <f t="shared" si="29"/>
        <v>506.94896264299729</v>
      </c>
      <c r="G123" s="63">
        <f t="shared" si="29"/>
        <v>50.375332469142151</v>
      </c>
      <c r="H123" s="63">
        <f t="shared" si="29"/>
        <v>0</v>
      </c>
      <c r="I123" s="63">
        <f t="shared" si="29"/>
        <v>8.681589694138184</v>
      </c>
      <c r="J123" s="63">
        <f t="shared" si="29"/>
        <v>0</v>
      </c>
      <c r="K123" s="63">
        <f t="shared" si="29"/>
        <v>37.945682011433298</v>
      </c>
      <c r="L123" s="63">
        <f t="shared" si="29"/>
        <v>0</v>
      </c>
      <c r="M123" s="63">
        <f t="shared" si="29"/>
        <v>28.40368112356736</v>
      </c>
      <c r="N123" s="26">
        <f t="shared" si="29"/>
        <v>3145.6788803918421</v>
      </c>
      <c r="O123" s="26">
        <f t="shared" si="26"/>
        <v>3145.6788803918425</v>
      </c>
      <c r="Q123" s="40"/>
      <c r="S123" s="10"/>
      <c r="V123" s="10"/>
      <c r="W123" s="487"/>
      <c r="X123" s="487"/>
      <c r="Y123" s="487"/>
      <c r="Z123" s="487"/>
      <c r="AA123" s="487"/>
      <c r="AB123" s="487"/>
      <c r="AC123" s="487"/>
      <c r="AD123" s="487"/>
      <c r="AE123" s="487"/>
      <c r="AF123" s="487"/>
      <c r="AG123" s="487"/>
      <c r="AH123" s="488"/>
      <c r="AI123" s="179"/>
      <c r="AJ123" s="18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</row>
    <row r="124" spans="1:65" x14ac:dyDescent="0.35">
      <c r="A124" s="3">
        <v>2</v>
      </c>
      <c r="B124" s="16" t="s">
        <v>47</v>
      </c>
      <c r="C124" s="63">
        <f t="shared" ref="C124:N124" si="30">C96/$C15</f>
        <v>528.9086332900622</v>
      </c>
      <c r="D124" s="63">
        <f t="shared" si="30"/>
        <v>1744.5684000239751</v>
      </c>
      <c r="E124" s="63">
        <f t="shared" si="30"/>
        <v>629.31532444546747</v>
      </c>
      <c r="F124" s="63">
        <f t="shared" si="30"/>
        <v>609.7333612348715</v>
      </c>
      <c r="G124" s="63">
        <f t="shared" si="30"/>
        <v>71.218951331731787</v>
      </c>
      <c r="H124" s="63">
        <f t="shared" si="30"/>
        <v>21.752888800289377</v>
      </c>
      <c r="I124" s="63">
        <f t="shared" si="30"/>
        <v>24.046331244886982</v>
      </c>
      <c r="J124" s="63">
        <f t="shared" si="30"/>
        <v>29.553640696129808</v>
      </c>
      <c r="K124" s="63">
        <f t="shared" si="30"/>
        <v>31.656374241348022</v>
      </c>
      <c r="L124" s="63">
        <f t="shared" si="30"/>
        <v>0</v>
      </c>
      <c r="M124" s="63">
        <f t="shared" si="30"/>
        <v>28.541517228152809</v>
      </c>
      <c r="N124" s="26">
        <f t="shared" si="30"/>
        <v>3719.2954225369153</v>
      </c>
      <c r="O124" s="26">
        <f t="shared" si="26"/>
        <v>3719.2954225369149</v>
      </c>
      <c r="Q124" s="40"/>
      <c r="S124" s="10"/>
      <c r="V124" s="10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8"/>
      <c r="AI124" s="179"/>
      <c r="AJ124" s="18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</row>
    <row r="125" spans="1:65" x14ac:dyDescent="0.35">
      <c r="A125" s="3">
        <v>4</v>
      </c>
      <c r="B125" s="16" t="s">
        <v>49</v>
      </c>
      <c r="C125" s="63">
        <f t="shared" ref="C125:N125" si="31">C97/$C16</f>
        <v>528.9086332900622</v>
      </c>
      <c r="D125" s="63">
        <f t="shared" si="31"/>
        <v>1789.9606935394293</v>
      </c>
      <c r="E125" s="63">
        <f t="shared" si="31"/>
        <v>715.36496285792441</v>
      </c>
      <c r="F125" s="63">
        <f t="shared" si="31"/>
        <v>674.97591445079991</v>
      </c>
      <c r="G125" s="63">
        <f t="shared" si="31"/>
        <v>34.810294402094165</v>
      </c>
      <c r="H125" s="63">
        <f t="shared" si="31"/>
        <v>0</v>
      </c>
      <c r="I125" s="63">
        <f t="shared" si="31"/>
        <v>37.652961132130272</v>
      </c>
      <c r="J125" s="63">
        <f t="shared" si="31"/>
        <v>0</v>
      </c>
      <c r="K125" s="63">
        <f t="shared" si="31"/>
        <v>50.314424546023631</v>
      </c>
      <c r="L125" s="63">
        <f t="shared" si="31"/>
        <v>0</v>
      </c>
      <c r="M125" s="63">
        <f t="shared" si="31"/>
        <v>34.627036081525461</v>
      </c>
      <c r="N125" s="26">
        <f t="shared" si="31"/>
        <v>3866.6149202999895</v>
      </c>
      <c r="O125" s="26">
        <f t="shared" si="26"/>
        <v>3866.6149202999895</v>
      </c>
      <c r="Q125" s="40"/>
      <c r="S125" s="10"/>
      <c r="V125" s="10"/>
      <c r="W125" s="487"/>
      <c r="X125" s="487"/>
      <c r="Y125" s="487"/>
      <c r="Z125" s="487"/>
      <c r="AA125" s="487"/>
      <c r="AB125" s="487"/>
      <c r="AC125" s="487"/>
      <c r="AD125" s="487"/>
      <c r="AE125" s="487"/>
      <c r="AF125" s="487"/>
      <c r="AG125" s="487"/>
      <c r="AH125" s="488"/>
      <c r="AI125" s="179"/>
      <c r="AJ125" s="18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</row>
    <row r="126" spans="1:65" x14ac:dyDescent="0.35">
      <c r="A126" s="3">
        <v>5</v>
      </c>
      <c r="B126" s="16" t="s">
        <v>51</v>
      </c>
      <c r="C126" s="63">
        <f t="shared" ref="C126:N126" si="32">C98/$C17</f>
        <v>528.9086332900622</v>
      </c>
      <c r="D126" s="63">
        <f t="shared" si="32"/>
        <v>1810.4432886312438</v>
      </c>
      <c r="E126" s="63">
        <f t="shared" si="32"/>
        <v>631.68999600717075</v>
      </c>
      <c r="F126" s="63">
        <f t="shared" si="32"/>
        <v>615.67658125498781</v>
      </c>
      <c r="G126" s="63">
        <f t="shared" si="32"/>
        <v>40.738746059477457</v>
      </c>
      <c r="H126" s="63">
        <f t="shared" si="32"/>
        <v>0</v>
      </c>
      <c r="I126" s="63">
        <f t="shared" si="32"/>
        <v>31.217954734488615</v>
      </c>
      <c r="J126" s="63">
        <f t="shared" si="32"/>
        <v>0</v>
      </c>
      <c r="K126" s="63">
        <f t="shared" si="32"/>
        <v>31.99303387650447</v>
      </c>
      <c r="L126" s="63">
        <f t="shared" si="32"/>
        <v>0</v>
      </c>
      <c r="M126" s="63">
        <f t="shared" si="32"/>
        <v>29.771274473065489</v>
      </c>
      <c r="N126" s="26">
        <f t="shared" si="32"/>
        <v>3720.4395083270006</v>
      </c>
      <c r="O126" s="26">
        <f t="shared" si="26"/>
        <v>3720.4395083270001</v>
      </c>
      <c r="Q126" s="40"/>
      <c r="S126" s="10"/>
      <c r="V126" s="10"/>
      <c r="W126" s="487"/>
      <c r="X126" s="487"/>
      <c r="Y126" s="487"/>
      <c r="Z126" s="487"/>
      <c r="AA126" s="487"/>
      <c r="AB126" s="487"/>
      <c r="AC126" s="487"/>
      <c r="AD126" s="487"/>
      <c r="AE126" s="487"/>
      <c r="AF126" s="487"/>
      <c r="AG126" s="487"/>
      <c r="AH126" s="488"/>
      <c r="AI126" s="179"/>
      <c r="AJ126" s="18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</row>
    <row r="127" spans="1:65" x14ac:dyDescent="0.35">
      <c r="A127" s="3">
        <v>6</v>
      </c>
      <c r="B127" s="16" t="s">
        <v>53</v>
      </c>
      <c r="C127" s="63">
        <f t="shared" ref="C127:N127" si="33">C99/$C18</f>
        <v>528.9086332900622</v>
      </c>
      <c r="D127" s="63">
        <f t="shared" si="33"/>
        <v>1715.0117767404874</v>
      </c>
      <c r="E127" s="63">
        <f t="shared" si="33"/>
        <v>585.39815086337558</v>
      </c>
      <c r="F127" s="63">
        <f t="shared" si="33"/>
        <v>584.51744840452466</v>
      </c>
      <c r="G127" s="63">
        <f t="shared" si="33"/>
        <v>48.182006115485827</v>
      </c>
      <c r="H127" s="63">
        <f t="shared" si="33"/>
        <v>0</v>
      </c>
      <c r="I127" s="63">
        <f t="shared" si="33"/>
        <v>26.343747467695501</v>
      </c>
      <c r="J127" s="63">
        <f t="shared" si="33"/>
        <v>0</v>
      </c>
      <c r="K127" s="63">
        <f t="shared" si="33"/>
        <v>32.637879007352254</v>
      </c>
      <c r="L127" s="63">
        <f t="shared" si="33"/>
        <v>0</v>
      </c>
      <c r="M127" s="63">
        <f t="shared" si="33"/>
        <v>24.733497839813175</v>
      </c>
      <c r="N127" s="26">
        <f t="shared" si="33"/>
        <v>3545.7331397287967</v>
      </c>
      <c r="O127" s="26">
        <f t="shared" si="26"/>
        <v>3545.7331397287967</v>
      </c>
      <c r="Q127" s="40"/>
      <c r="S127" s="10"/>
      <c r="V127" s="10"/>
      <c r="W127" s="487"/>
      <c r="X127" s="487"/>
      <c r="Y127" s="487"/>
      <c r="Z127" s="487"/>
      <c r="AA127" s="487"/>
      <c r="AB127" s="487"/>
      <c r="AC127" s="487"/>
      <c r="AD127" s="487"/>
      <c r="AE127" s="487"/>
      <c r="AF127" s="487"/>
      <c r="AG127" s="487"/>
      <c r="AH127" s="488"/>
      <c r="AI127" s="179"/>
      <c r="AJ127" s="18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</row>
    <row r="128" spans="1:65" x14ac:dyDescent="0.35">
      <c r="A128" s="3">
        <v>7</v>
      </c>
      <c r="B128" s="16" t="s">
        <v>55</v>
      </c>
      <c r="C128" s="63">
        <f t="shared" ref="C128:N128" si="34">C100/$C19</f>
        <v>528.9086332900622</v>
      </c>
      <c r="D128" s="63">
        <f t="shared" si="34"/>
        <v>1836.5816019518215</v>
      </c>
      <c r="E128" s="63">
        <f t="shared" si="34"/>
        <v>660.58278336185606</v>
      </c>
      <c r="F128" s="63">
        <f t="shared" si="34"/>
        <v>642.91007046108962</v>
      </c>
      <c r="G128" s="63">
        <f t="shared" si="34"/>
        <v>51.47041314786118</v>
      </c>
      <c r="H128" s="63">
        <f t="shared" si="34"/>
        <v>0</v>
      </c>
      <c r="I128" s="63">
        <f t="shared" si="34"/>
        <v>28.344528869230551</v>
      </c>
      <c r="J128" s="63">
        <f t="shared" si="34"/>
        <v>0</v>
      </c>
      <c r="K128" s="63">
        <f t="shared" si="34"/>
        <v>28.36520677906141</v>
      </c>
      <c r="L128" s="63">
        <f t="shared" si="34"/>
        <v>0</v>
      </c>
      <c r="M128" s="63">
        <f t="shared" si="34"/>
        <v>30.748989114935789</v>
      </c>
      <c r="N128" s="26">
        <f t="shared" si="34"/>
        <v>3807.9122269759182</v>
      </c>
      <c r="O128" s="26">
        <f t="shared" si="26"/>
        <v>3807.9122269759182</v>
      </c>
      <c r="Q128" s="40"/>
      <c r="S128" s="10"/>
      <c r="V128" s="10"/>
      <c r="W128" s="487"/>
      <c r="X128" s="487"/>
      <c r="Y128" s="487"/>
      <c r="Z128" s="487"/>
      <c r="AA128" s="487"/>
      <c r="AB128" s="487"/>
      <c r="AC128" s="487"/>
      <c r="AD128" s="487"/>
      <c r="AE128" s="487"/>
      <c r="AF128" s="487"/>
      <c r="AG128" s="487"/>
      <c r="AH128" s="488"/>
      <c r="AI128" s="179"/>
      <c r="AJ128" s="18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</row>
    <row r="129" spans="1:65" x14ac:dyDescent="0.35">
      <c r="A129" s="3">
        <v>8</v>
      </c>
      <c r="B129" s="16" t="s">
        <v>57</v>
      </c>
      <c r="C129" s="63">
        <f t="shared" ref="C129:N129" si="35">C101/$C20</f>
        <v>528.9086332900622</v>
      </c>
      <c r="D129" s="63">
        <f t="shared" si="35"/>
        <v>1864.6148109248202</v>
      </c>
      <c r="E129" s="63">
        <f t="shared" si="35"/>
        <v>823.09958212056858</v>
      </c>
      <c r="F129" s="63">
        <f t="shared" si="35"/>
        <v>686.59965397360577</v>
      </c>
      <c r="G129" s="63">
        <f t="shared" si="35"/>
        <v>60.521854657849914</v>
      </c>
      <c r="H129" s="63">
        <f t="shared" si="35"/>
        <v>2.9308184444998866</v>
      </c>
      <c r="I129" s="63">
        <f t="shared" si="35"/>
        <v>29.032515144057427</v>
      </c>
      <c r="J129" s="63">
        <f t="shared" si="35"/>
        <v>0</v>
      </c>
      <c r="K129" s="63">
        <f t="shared" si="35"/>
        <v>35.948588630156571</v>
      </c>
      <c r="L129" s="63">
        <f t="shared" si="35"/>
        <v>0</v>
      </c>
      <c r="M129" s="63">
        <f t="shared" si="35"/>
        <v>36.050661552608211</v>
      </c>
      <c r="N129" s="26">
        <f t="shared" si="35"/>
        <v>4067.7071187382285</v>
      </c>
      <c r="O129" s="26">
        <f t="shared" si="26"/>
        <v>4067.7071187382289</v>
      </c>
      <c r="Q129" s="40"/>
      <c r="S129" s="10"/>
      <c r="V129" s="10"/>
      <c r="W129" s="487"/>
      <c r="X129" s="487"/>
      <c r="Y129" s="487"/>
      <c r="Z129" s="487"/>
      <c r="AA129" s="487"/>
      <c r="AB129" s="487"/>
      <c r="AC129" s="487"/>
      <c r="AD129" s="487"/>
      <c r="AE129" s="487"/>
      <c r="AF129" s="487"/>
      <c r="AG129" s="487"/>
      <c r="AH129" s="488"/>
      <c r="AI129" s="179"/>
      <c r="AJ129" s="18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</row>
    <row r="130" spans="1:65" x14ac:dyDescent="0.35">
      <c r="A130" s="3">
        <v>9</v>
      </c>
      <c r="B130" s="16" t="s">
        <v>59</v>
      </c>
      <c r="C130" s="63">
        <f t="shared" ref="C130:N130" si="36">C102/$C21</f>
        <v>528.9086332900622</v>
      </c>
      <c r="D130" s="63">
        <f t="shared" si="36"/>
        <v>1808.2126965368027</v>
      </c>
      <c r="E130" s="63">
        <f t="shared" si="36"/>
        <v>730.09864277316876</v>
      </c>
      <c r="F130" s="63">
        <f t="shared" si="36"/>
        <v>640.56821365446979</v>
      </c>
      <c r="G130" s="63">
        <f t="shared" si="36"/>
        <v>60.981079043894994</v>
      </c>
      <c r="H130" s="63">
        <f t="shared" si="36"/>
        <v>0</v>
      </c>
      <c r="I130" s="63">
        <f t="shared" si="36"/>
        <v>43.22264411731863</v>
      </c>
      <c r="J130" s="63">
        <f t="shared" si="36"/>
        <v>0</v>
      </c>
      <c r="K130" s="63">
        <f t="shared" si="36"/>
        <v>33.719766376413638</v>
      </c>
      <c r="L130" s="63">
        <f t="shared" si="36"/>
        <v>0</v>
      </c>
      <c r="M130" s="63">
        <f t="shared" si="36"/>
        <v>32.273735101793051</v>
      </c>
      <c r="N130" s="26">
        <f t="shared" si="36"/>
        <v>3877.9854108939239</v>
      </c>
      <c r="O130" s="26">
        <f t="shared" si="26"/>
        <v>3877.9854108939239</v>
      </c>
      <c r="Q130" s="40"/>
      <c r="S130" s="10"/>
      <c r="V130" s="10"/>
      <c r="W130" s="487"/>
      <c r="X130" s="487"/>
      <c r="Y130" s="487"/>
      <c r="Z130" s="487"/>
      <c r="AA130" s="487"/>
      <c r="AB130" s="487"/>
      <c r="AC130" s="487"/>
      <c r="AD130" s="487"/>
      <c r="AE130" s="487"/>
      <c r="AF130" s="487"/>
      <c r="AG130" s="487"/>
      <c r="AH130" s="488"/>
      <c r="AI130" s="179"/>
      <c r="AJ130" s="18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</row>
    <row r="131" spans="1:65" x14ac:dyDescent="0.35">
      <c r="A131" s="9">
        <v>10</v>
      </c>
      <c r="B131" s="155" t="s">
        <v>61</v>
      </c>
      <c r="C131" s="63">
        <f t="shared" ref="C131:N131" si="37">C103/$C22</f>
        <v>528.9086332900622</v>
      </c>
      <c r="D131" s="63">
        <f t="shared" si="37"/>
        <v>1982.8975374729175</v>
      </c>
      <c r="E131" s="63">
        <f t="shared" si="37"/>
        <v>851.68171272990355</v>
      </c>
      <c r="F131" s="63">
        <f t="shared" si="37"/>
        <v>768.98993796215177</v>
      </c>
      <c r="G131" s="63">
        <f t="shared" si="37"/>
        <v>33.055204330255719</v>
      </c>
      <c r="H131" s="63">
        <f t="shared" si="37"/>
        <v>0</v>
      </c>
      <c r="I131" s="63">
        <f t="shared" si="37"/>
        <v>97.554202323848472</v>
      </c>
      <c r="J131" s="63">
        <f t="shared" si="37"/>
        <v>27.649204631442345</v>
      </c>
      <c r="K131" s="63">
        <f t="shared" si="37"/>
        <v>35.255858244990307</v>
      </c>
      <c r="L131" s="63">
        <f t="shared" si="37"/>
        <v>0</v>
      </c>
      <c r="M131" s="63">
        <f t="shared" si="37"/>
        <v>31.654445539801003</v>
      </c>
      <c r="N131" s="26">
        <f t="shared" si="37"/>
        <v>4357.6467365253729</v>
      </c>
      <c r="O131" s="26">
        <f t="shared" si="26"/>
        <v>4357.6467365253729</v>
      </c>
      <c r="Q131" s="40"/>
      <c r="S131" s="10"/>
      <c r="V131" s="10"/>
      <c r="W131" s="487"/>
      <c r="X131" s="487"/>
      <c r="Y131" s="487"/>
      <c r="Z131" s="487"/>
      <c r="AA131" s="487"/>
      <c r="AB131" s="487"/>
      <c r="AC131" s="487"/>
      <c r="AD131" s="487"/>
      <c r="AE131" s="487"/>
      <c r="AF131" s="487"/>
      <c r="AG131" s="487"/>
      <c r="AH131" s="488"/>
      <c r="AI131" s="179"/>
      <c r="AJ131" s="18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</row>
    <row r="132" spans="1:65" x14ac:dyDescent="0.35">
      <c r="A132" s="9">
        <v>11</v>
      </c>
      <c r="B132" s="155" t="s">
        <v>63</v>
      </c>
      <c r="C132" s="63">
        <f t="shared" ref="C132:N132" si="38">C104/$C23</f>
        <v>528.9086332900622</v>
      </c>
      <c r="D132" s="63">
        <f t="shared" si="38"/>
        <v>1894.0470390800467</v>
      </c>
      <c r="E132" s="63">
        <f t="shared" si="38"/>
        <v>706.57594202021346</v>
      </c>
      <c r="F132" s="63">
        <f t="shared" si="38"/>
        <v>743.39210832875631</v>
      </c>
      <c r="G132" s="63">
        <f t="shared" si="38"/>
        <v>29.957090187948083</v>
      </c>
      <c r="H132" s="63">
        <f t="shared" si="38"/>
        <v>0</v>
      </c>
      <c r="I132" s="63">
        <f t="shared" si="38"/>
        <v>71.595965718138288</v>
      </c>
      <c r="J132" s="63">
        <f t="shared" si="38"/>
        <v>0</v>
      </c>
      <c r="K132" s="63">
        <f t="shared" si="38"/>
        <v>36.399333062471101</v>
      </c>
      <c r="L132" s="63">
        <f t="shared" si="38"/>
        <v>0</v>
      </c>
      <c r="M132" s="63">
        <f t="shared" si="38"/>
        <v>23.823454115673066</v>
      </c>
      <c r="N132" s="26">
        <f t="shared" si="38"/>
        <v>4034.6995658033097</v>
      </c>
      <c r="O132" s="26">
        <f t="shared" si="26"/>
        <v>4034.6995658033093</v>
      </c>
      <c r="Q132" s="40"/>
      <c r="S132" s="10"/>
      <c r="V132" s="10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8"/>
      <c r="AI132" s="179"/>
      <c r="AJ132" s="18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</row>
    <row r="133" spans="1:65" x14ac:dyDescent="0.35">
      <c r="A133" s="9">
        <v>12</v>
      </c>
      <c r="B133" s="155" t="s">
        <v>65</v>
      </c>
      <c r="C133" s="63">
        <f t="shared" ref="C133:N133" si="39">C105/$C24</f>
        <v>528.90863329006231</v>
      </c>
      <c r="D133" s="63">
        <f t="shared" si="39"/>
        <v>1925.522414615896</v>
      </c>
      <c r="E133" s="63">
        <f t="shared" si="39"/>
        <v>744.02632518763312</v>
      </c>
      <c r="F133" s="63">
        <f t="shared" si="39"/>
        <v>791.78239301683993</v>
      </c>
      <c r="G133" s="63">
        <f t="shared" si="39"/>
        <v>36.786390202781064</v>
      </c>
      <c r="H133" s="63">
        <f t="shared" si="39"/>
        <v>0</v>
      </c>
      <c r="I133" s="63">
        <f t="shared" si="39"/>
        <v>117.13754736543693</v>
      </c>
      <c r="J133" s="63">
        <f t="shared" si="39"/>
        <v>0</v>
      </c>
      <c r="K133" s="63">
        <f t="shared" si="39"/>
        <v>31.726745758813298</v>
      </c>
      <c r="L133" s="63">
        <f t="shared" si="39"/>
        <v>0</v>
      </c>
      <c r="M133" s="63">
        <f t="shared" si="39"/>
        <v>27.831353618765519</v>
      </c>
      <c r="N133" s="26">
        <f t="shared" si="39"/>
        <v>4203.7218030562271</v>
      </c>
      <c r="O133" s="26">
        <f t="shared" si="26"/>
        <v>4203.7218030562281</v>
      </c>
      <c r="Q133" s="40"/>
      <c r="S133" s="10"/>
      <c r="V133" s="10"/>
      <c r="W133" s="487"/>
      <c r="X133" s="487"/>
      <c r="Y133" s="487"/>
      <c r="Z133" s="487"/>
      <c r="AA133" s="487"/>
      <c r="AB133" s="487"/>
      <c r="AC133" s="487"/>
      <c r="AD133" s="487"/>
      <c r="AE133" s="487"/>
      <c r="AF133" s="487"/>
      <c r="AG133" s="487"/>
      <c r="AH133" s="488"/>
      <c r="AI133" s="179"/>
      <c r="AJ133" s="18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</row>
    <row r="134" spans="1:65" x14ac:dyDescent="0.35">
      <c r="A134" s="9">
        <v>13</v>
      </c>
      <c r="B134" s="155" t="s">
        <v>67</v>
      </c>
      <c r="C134" s="63">
        <f t="shared" ref="C134:N134" si="40">C106/$C25</f>
        <v>528.9086332900622</v>
      </c>
      <c r="D134" s="63">
        <f t="shared" si="40"/>
        <v>1748.43657730005</v>
      </c>
      <c r="E134" s="63">
        <f t="shared" si="40"/>
        <v>616.51284646278452</v>
      </c>
      <c r="F134" s="63">
        <f t="shared" si="40"/>
        <v>647.50581276941762</v>
      </c>
      <c r="G134" s="63">
        <f t="shared" si="40"/>
        <v>33.20442365140665</v>
      </c>
      <c r="H134" s="63">
        <f t="shared" si="40"/>
        <v>0</v>
      </c>
      <c r="I134" s="63">
        <f t="shared" si="40"/>
        <v>60.924287576378092</v>
      </c>
      <c r="J134" s="63">
        <f t="shared" si="40"/>
        <v>0</v>
      </c>
      <c r="K134" s="63">
        <f t="shared" si="40"/>
        <v>30.529927550528754</v>
      </c>
      <c r="L134" s="63">
        <f t="shared" si="40"/>
        <v>0</v>
      </c>
      <c r="M134" s="63">
        <f t="shared" si="40"/>
        <v>27.249672732709943</v>
      </c>
      <c r="N134" s="26">
        <f t="shared" si="40"/>
        <v>3693.2721813333374</v>
      </c>
      <c r="O134" s="26">
        <f t="shared" si="26"/>
        <v>3693.2721813333378</v>
      </c>
      <c r="Q134" s="40"/>
      <c r="S134" s="10"/>
      <c r="V134" s="10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8"/>
      <c r="AI134" s="179"/>
      <c r="AJ134" s="18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</row>
    <row r="135" spans="1:65" x14ac:dyDescent="0.35">
      <c r="A135" s="9">
        <v>14</v>
      </c>
      <c r="B135" s="155" t="s">
        <v>69</v>
      </c>
      <c r="C135" s="63">
        <f t="shared" ref="C135:N135" si="41">C107/$C26</f>
        <v>528.9086332900622</v>
      </c>
      <c r="D135" s="63">
        <f t="shared" si="41"/>
        <v>1867.2322207468692</v>
      </c>
      <c r="E135" s="63">
        <f t="shared" si="41"/>
        <v>730.00003063198415</v>
      </c>
      <c r="F135" s="63">
        <f t="shared" si="41"/>
        <v>659.57365570736476</v>
      </c>
      <c r="G135" s="63">
        <f t="shared" si="41"/>
        <v>21.281030003293822</v>
      </c>
      <c r="H135" s="63">
        <f t="shared" si="41"/>
        <v>0</v>
      </c>
      <c r="I135" s="63">
        <f t="shared" si="41"/>
        <v>72.714582269990373</v>
      </c>
      <c r="J135" s="63">
        <f t="shared" si="41"/>
        <v>0</v>
      </c>
      <c r="K135" s="63">
        <f t="shared" si="41"/>
        <v>37.682091238660412</v>
      </c>
      <c r="L135" s="63">
        <f t="shared" si="41"/>
        <v>0</v>
      </c>
      <c r="M135" s="63">
        <f t="shared" si="41"/>
        <v>30.912891269273953</v>
      </c>
      <c r="N135" s="26">
        <f t="shared" si="41"/>
        <v>3948.3051351574982</v>
      </c>
      <c r="O135" s="26">
        <f t="shared" si="26"/>
        <v>3948.3051351574991</v>
      </c>
      <c r="Q135" s="40"/>
      <c r="S135" s="10"/>
      <c r="V135" s="10"/>
      <c r="W135" s="487"/>
      <c r="X135" s="487"/>
      <c r="Y135" s="487"/>
      <c r="Z135" s="487"/>
      <c r="AA135" s="487"/>
      <c r="AB135" s="487"/>
      <c r="AC135" s="487"/>
      <c r="AD135" s="487"/>
      <c r="AE135" s="487"/>
      <c r="AF135" s="487"/>
      <c r="AG135" s="487"/>
      <c r="AH135" s="488"/>
      <c r="AI135" s="179"/>
      <c r="AJ135" s="18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</row>
    <row r="136" spans="1:65" x14ac:dyDescent="0.35">
      <c r="A136" s="9">
        <v>15</v>
      </c>
      <c r="B136" s="155" t="s">
        <v>71</v>
      </c>
      <c r="C136" s="63">
        <f t="shared" ref="C136:N136" si="42">C108/$C27</f>
        <v>528.9086332900622</v>
      </c>
      <c r="D136" s="63">
        <f t="shared" si="42"/>
        <v>1594.3686100325576</v>
      </c>
      <c r="E136" s="63">
        <f t="shared" si="42"/>
        <v>567.41038429151774</v>
      </c>
      <c r="F136" s="63">
        <f t="shared" si="42"/>
        <v>506.58008986102186</v>
      </c>
      <c r="G136" s="63">
        <f t="shared" si="42"/>
        <v>69.09690805908356</v>
      </c>
      <c r="H136" s="63">
        <f t="shared" si="42"/>
        <v>194.6520150163017</v>
      </c>
      <c r="I136" s="63">
        <f t="shared" si="42"/>
        <v>46.410826382755467</v>
      </c>
      <c r="J136" s="63">
        <f t="shared" si="42"/>
        <v>19.335957400642261</v>
      </c>
      <c r="K136" s="63">
        <f t="shared" si="42"/>
        <v>34.361953285540487</v>
      </c>
      <c r="L136" s="63">
        <f t="shared" si="42"/>
        <v>0</v>
      </c>
      <c r="M136" s="63">
        <f t="shared" si="42"/>
        <v>20.081915413184458</v>
      </c>
      <c r="N136" s="26">
        <f t="shared" si="42"/>
        <v>3581.2072930326681</v>
      </c>
      <c r="O136" s="26">
        <f t="shared" si="26"/>
        <v>3581.2072930326681</v>
      </c>
      <c r="Q136" s="40"/>
      <c r="S136" s="10"/>
      <c r="V136" s="10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  <c r="AH136" s="488"/>
      <c r="AI136" s="179"/>
      <c r="AJ136" s="18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</row>
    <row r="137" spans="1:65" x14ac:dyDescent="0.35">
      <c r="A137" s="9">
        <v>16</v>
      </c>
      <c r="B137" s="155" t="s">
        <v>73</v>
      </c>
      <c r="C137" s="63">
        <f t="shared" ref="C137:N137" si="43">C109/$C28</f>
        <v>528.9086332900622</v>
      </c>
      <c r="D137" s="63">
        <f t="shared" si="43"/>
        <v>1785.226862494083</v>
      </c>
      <c r="E137" s="63">
        <f t="shared" si="43"/>
        <v>626.36494038320711</v>
      </c>
      <c r="F137" s="63">
        <f t="shared" si="43"/>
        <v>653.51212944960855</v>
      </c>
      <c r="G137" s="63">
        <f t="shared" si="43"/>
        <v>28.907988602198976</v>
      </c>
      <c r="H137" s="63">
        <f t="shared" si="43"/>
        <v>34.674835865632716</v>
      </c>
      <c r="I137" s="63">
        <f t="shared" si="43"/>
        <v>78.660534697945351</v>
      </c>
      <c r="J137" s="63">
        <f t="shared" si="43"/>
        <v>0</v>
      </c>
      <c r="K137" s="63">
        <f t="shared" si="43"/>
        <v>40.256942026600136</v>
      </c>
      <c r="L137" s="63">
        <f t="shared" si="43"/>
        <v>0</v>
      </c>
      <c r="M137" s="63">
        <f t="shared" si="43"/>
        <v>43.284944532665591</v>
      </c>
      <c r="N137" s="26">
        <f t="shared" si="43"/>
        <v>3819.7978113420036</v>
      </c>
      <c r="O137" s="26">
        <f t="shared" si="26"/>
        <v>3819.7978113420031</v>
      </c>
      <c r="Q137" s="40"/>
      <c r="S137" s="10"/>
      <c r="V137" s="10"/>
      <c r="W137" s="487"/>
      <c r="X137" s="487"/>
      <c r="Y137" s="487"/>
      <c r="Z137" s="487"/>
      <c r="AA137" s="487"/>
      <c r="AB137" s="487"/>
      <c r="AC137" s="487"/>
      <c r="AD137" s="487"/>
      <c r="AE137" s="487"/>
      <c r="AF137" s="487"/>
      <c r="AG137" s="487"/>
      <c r="AH137" s="488"/>
      <c r="AI137" s="179"/>
      <c r="AJ137" s="18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</row>
    <row r="138" spans="1:65" x14ac:dyDescent="0.35">
      <c r="A138" s="9">
        <v>17</v>
      </c>
      <c r="B138" s="155" t="s">
        <v>75</v>
      </c>
      <c r="C138" s="63">
        <f t="shared" ref="C138:N138" si="44">C110/$C29</f>
        <v>528.9086332900622</v>
      </c>
      <c r="D138" s="63">
        <f t="shared" si="44"/>
        <v>1661.3949203955285</v>
      </c>
      <c r="E138" s="63">
        <f t="shared" si="44"/>
        <v>528.45095035778672</v>
      </c>
      <c r="F138" s="63">
        <f t="shared" si="44"/>
        <v>686.16707783290099</v>
      </c>
      <c r="G138" s="63">
        <f t="shared" si="44"/>
        <v>28.224239428578528</v>
      </c>
      <c r="H138" s="63">
        <f t="shared" si="44"/>
        <v>0</v>
      </c>
      <c r="I138" s="63">
        <f t="shared" si="44"/>
        <v>92.367043503078918</v>
      </c>
      <c r="J138" s="63">
        <f t="shared" si="44"/>
        <v>1.4650064887395431</v>
      </c>
      <c r="K138" s="63">
        <f t="shared" si="44"/>
        <v>35.961327424747786</v>
      </c>
      <c r="L138" s="63">
        <f t="shared" si="44"/>
        <v>0</v>
      </c>
      <c r="M138" s="63">
        <f t="shared" si="44"/>
        <v>18.467162291545073</v>
      </c>
      <c r="N138" s="26">
        <f t="shared" si="44"/>
        <v>3581.4063610129674</v>
      </c>
      <c r="O138" s="26">
        <f t="shared" si="26"/>
        <v>3581.4063610129679</v>
      </c>
      <c r="Q138" s="40"/>
      <c r="S138" s="10"/>
      <c r="V138" s="10"/>
      <c r="W138" s="487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  <c r="AH138" s="488"/>
      <c r="AI138" s="179"/>
      <c r="AJ138" s="18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</row>
    <row r="139" spans="1:65" x14ac:dyDescent="0.35">
      <c r="A139" s="9">
        <v>18</v>
      </c>
      <c r="B139" s="155" t="s">
        <v>77</v>
      </c>
      <c r="C139" s="63">
        <f t="shared" ref="C139:N139" si="45">C111/$C30</f>
        <v>528.9086332900622</v>
      </c>
      <c r="D139" s="63">
        <f t="shared" si="45"/>
        <v>1904.0923716978707</v>
      </c>
      <c r="E139" s="63">
        <f t="shared" si="45"/>
        <v>813.90471247058383</v>
      </c>
      <c r="F139" s="63">
        <f t="shared" si="45"/>
        <v>790.10547793562296</v>
      </c>
      <c r="G139" s="63">
        <f t="shared" si="45"/>
        <v>27.324085242742644</v>
      </c>
      <c r="H139" s="63">
        <f t="shared" si="45"/>
        <v>0</v>
      </c>
      <c r="I139" s="63">
        <f t="shared" si="45"/>
        <v>286.35402013143278</v>
      </c>
      <c r="J139" s="63">
        <f t="shared" si="45"/>
        <v>0</v>
      </c>
      <c r="K139" s="63">
        <f t="shared" si="45"/>
        <v>38.826080568397281</v>
      </c>
      <c r="L139" s="63">
        <f t="shared" si="45"/>
        <v>0</v>
      </c>
      <c r="M139" s="63">
        <f t="shared" si="45"/>
        <v>30.972225300702291</v>
      </c>
      <c r="N139" s="26">
        <f t="shared" si="45"/>
        <v>4420.4876066374145</v>
      </c>
      <c r="O139" s="26">
        <f t="shared" si="26"/>
        <v>4420.4876066374145</v>
      </c>
      <c r="Q139" s="40"/>
      <c r="S139" s="10"/>
      <c r="V139" s="10"/>
      <c r="W139" s="487"/>
      <c r="X139" s="487"/>
      <c r="Y139" s="487"/>
      <c r="Z139" s="487"/>
      <c r="AA139" s="487"/>
      <c r="AB139" s="487"/>
      <c r="AC139" s="487"/>
      <c r="AD139" s="487"/>
      <c r="AE139" s="487"/>
      <c r="AF139" s="487"/>
      <c r="AG139" s="487"/>
      <c r="AH139" s="488"/>
      <c r="AI139" s="179"/>
      <c r="AJ139" s="18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</row>
    <row r="140" spans="1:65" x14ac:dyDescent="0.35">
      <c r="A140" s="9">
        <v>19</v>
      </c>
      <c r="B140" s="155" t="s">
        <v>79</v>
      </c>
      <c r="C140" s="63">
        <f t="shared" ref="C140:N140" si="46">C112/$C31</f>
        <v>528.9086332900622</v>
      </c>
      <c r="D140" s="63">
        <f t="shared" si="46"/>
        <v>1819.1185707953396</v>
      </c>
      <c r="E140" s="63">
        <f t="shared" si="46"/>
        <v>696.13958541358215</v>
      </c>
      <c r="F140" s="63">
        <f t="shared" si="46"/>
        <v>799.9703980588456</v>
      </c>
      <c r="G140" s="63">
        <f t="shared" si="46"/>
        <v>28.140615362312882</v>
      </c>
      <c r="H140" s="63">
        <f t="shared" si="46"/>
        <v>0</v>
      </c>
      <c r="I140" s="63">
        <f t="shared" si="46"/>
        <v>533.73172659651823</v>
      </c>
      <c r="J140" s="63">
        <f t="shared" si="46"/>
        <v>0</v>
      </c>
      <c r="K140" s="63">
        <f t="shared" si="46"/>
        <v>34.507070600732654</v>
      </c>
      <c r="L140" s="63">
        <f t="shared" si="46"/>
        <v>14.003876272952354</v>
      </c>
      <c r="M140" s="63">
        <f t="shared" si="46"/>
        <v>26.272925853516963</v>
      </c>
      <c r="N140" s="26">
        <f t="shared" si="46"/>
        <v>4480.7934022438631</v>
      </c>
      <c r="O140" s="26">
        <f t="shared" si="26"/>
        <v>4480.7934022438631</v>
      </c>
      <c r="Q140" s="40"/>
      <c r="S140" s="10"/>
      <c r="V140" s="10"/>
      <c r="W140" s="487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487"/>
      <c r="AH140" s="488"/>
      <c r="AI140" s="179"/>
      <c r="AJ140" s="18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</row>
    <row r="141" spans="1:65" x14ac:dyDescent="0.35">
      <c r="A141" s="9"/>
      <c r="B141" s="155" t="s">
        <v>35</v>
      </c>
      <c r="C141" s="26">
        <f t="shared" ref="C141:N141" si="47">C113/$C32</f>
        <v>528.9086332900622</v>
      </c>
      <c r="D141" s="26">
        <f t="shared" si="47"/>
        <v>1703.7506955741278</v>
      </c>
      <c r="E141" s="26">
        <f t="shared" si="47"/>
        <v>569.68953772595046</v>
      </c>
      <c r="F141" s="26">
        <f t="shared" si="47"/>
        <v>606.51430222415433</v>
      </c>
      <c r="G141" s="26">
        <f t="shared" si="47"/>
        <v>70.717115666647842</v>
      </c>
      <c r="H141" s="26">
        <f t="shared" si="47"/>
        <v>17.679278916661957</v>
      </c>
      <c r="I141" s="26">
        <f t="shared" si="47"/>
        <v>57.211007538578698</v>
      </c>
      <c r="J141" s="26">
        <f t="shared" si="47"/>
        <v>3.9955170351656029</v>
      </c>
      <c r="K141" s="26">
        <f t="shared" si="47"/>
        <v>35.358557833323935</v>
      </c>
      <c r="L141" s="26">
        <f t="shared" si="47"/>
        <v>0.45552856801861474</v>
      </c>
      <c r="M141" s="26">
        <f t="shared" si="47"/>
        <v>25.03902473155701</v>
      </c>
      <c r="N141" s="26">
        <f t="shared" si="47"/>
        <v>3619.3191991042486</v>
      </c>
      <c r="O141" s="26">
        <f t="shared" si="26"/>
        <v>3619.3191991042486</v>
      </c>
      <c r="Q141" s="40"/>
      <c r="S141" s="10"/>
      <c r="V141" s="10"/>
      <c r="W141" s="487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7"/>
      <c r="AH141" s="488"/>
      <c r="AI141" s="179"/>
      <c r="AJ141" s="18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</row>
    <row r="142" spans="1:65" ht="31" x14ac:dyDescent="0.35">
      <c r="A142" s="9"/>
      <c r="B142" s="186" t="s">
        <v>449</v>
      </c>
      <c r="C142" s="197">
        <f>C141/$O$141</f>
        <v>0.14613484033708954</v>
      </c>
      <c r="D142" s="197">
        <f t="shared" ref="D142:N142" si="48">D141/$O$141</f>
        <v>0.47073789346786321</v>
      </c>
      <c r="E142" s="197">
        <f t="shared" si="48"/>
        <v>0.15740240260293811</v>
      </c>
      <c r="F142" s="197">
        <f t="shared" si="48"/>
        <v>0.16757690296403302</v>
      </c>
      <c r="G142" s="197">
        <f t="shared" si="48"/>
        <v>1.9538789417675496E-2</v>
      </c>
      <c r="H142" s="197">
        <f t="shared" si="48"/>
        <v>4.8846973544188731E-3</v>
      </c>
      <c r="I142" s="197">
        <f t="shared" si="48"/>
        <v>1.5807118519067881E-2</v>
      </c>
      <c r="J142" s="197">
        <f t="shared" si="48"/>
        <v>1.1039416020986654E-3</v>
      </c>
      <c r="K142" s="197">
        <f t="shared" si="48"/>
        <v>9.7693947088377513E-3</v>
      </c>
      <c r="L142" s="197">
        <f t="shared" si="48"/>
        <v>1.2586029110981818E-4</v>
      </c>
      <c r="M142" s="197">
        <f t="shared" si="48"/>
        <v>6.918158734867585E-3</v>
      </c>
      <c r="N142" s="197">
        <f t="shared" si="48"/>
        <v>1</v>
      </c>
      <c r="O142" s="197"/>
      <c r="Q142" s="40"/>
      <c r="S142" s="10"/>
      <c r="V142" s="10"/>
      <c r="W142" s="487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/>
      <c r="AH142" s="488"/>
      <c r="AI142" s="179"/>
      <c r="AJ142" s="18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</row>
    <row r="143" spans="1:65" x14ac:dyDescent="0.35">
      <c r="A143" s="9"/>
      <c r="B143" s="155"/>
      <c r="C143" s="187"/>
      <c r="D143" s="187"/>
      <c r="E143" s="187"/>
      <c r="F143" s="187"/>
      <c r="G143" s="187"/>
      <c r="H143" s="187"/>
      <c r="I143" s="109"/>
      <c r="J143" s="109"/>
      <c r="K143" s="109"/>
      <c r="L143" s="188"/>
      <c r="M143" s="109"/>
      <c r="N143" s="109"/>
      <c r="O143" s="81"/>
      <c r="S143" s="10"/>
      <c r="V143" s="10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8"/>
      <c r="AI143" s="179"/>
      <c r="AJ143" s="18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</row>
    <row r="144" spans="1:65" x14ac:dyDescent="0.35">
      <c r="A144" s="155"/>
      <c r="F144" s="19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</row>
    <row r="145" spans="1:65" s="9" customFormat="1" x14ac:dyDescent="0.35">
      <c r="A145" s="17" t="s">
        <v>450</v>
      </c>
      <c r="B145" s="17"/>
      <c r="C145" s="17"/>
      <c r="D145" s="17"/>
      <c r="E145" s="17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</row>
    <row r="146" spans="1:65" x14ac:dyDescent="0.35">
      <c r="A146" s="262" t="s">
        <v>22</v>
      </c>
      <c r="B146" s="262" t="s">
        <v>34</v>
      </c>
      <c r="C146" s="71" t="s">
        <v>372</v>
      </c>
      <c r="D146" s="269" t="s">
        <v>374</v>
      </c>
      <c r="E146" s="269" t="s">
        <v>375</v>
      </c>
      <c r="F146" s="269" t="s">
        <v>376</v>
      </c>
      <c r="G146" s="71" t="s">
        <v>377</v>
      </c>
      <c r="H146" s="71" t="s">
        <v>378</v>
      </c>
      <c r="I146" s="71" t="s">
        <v>379</v>
      </c>
      <c r="J146" s="71" t="s">
        <v>380</v>
      </c>
      <c r="K146" s="71" t="s">
        <v>381</v>
      </c>
      <c r="L146" s="71" t="s">
        <v>382</v>
      </c>
      <c r="M146" s="71" t="s">
        <v>815</v>
      </c>
      <c r="N146" s="261" t="s">
        <v>445</v>
      </c>
      <c r="O146" s="271" t="s">
        <v>446</v>
      </c>
      <c r="S146" s="10"/>
      <c r="V146" s="10"/>
      <c r="W146" s="451"/>
      <c r="X146" s="451"/>
      <c r="Y146" s="451"/>
      <c r="Z146" s="451"/>
      <c r="AA146" s="451"/>
      <c r="AB146" s="451"/>
      <c r="AC146" s="451"/>
      <c r="AD146" s="451"/>
      <c r="AE146" s="451"/>
      <c r="AF146" s="451"/>
      <c r="AG146" s="451"/>
      <c r="AH146" s="451"/>
      <c r="AI146" s="177"/>
      <c r="AJ146" s="176"/>
      <c r="AK146" s="25"/>
      <c r="AL146" s="175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5"/>
      <c r="AW146" s="177"/>
      <c r="AX146" s="175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5"/>
      <c r="BI146" s="25"/>
      <c r="BJ146" s="25"/>
      <c r="BK146" s="25"/>
      <c r="BL146" s="25"/>
      <c r="BM146" s="25"/>
    </row>
    <row r="147" spans="1:65" x14ac:dyDescent="0.35">
      <c r="A147" s="99">
        <v>31</v>
      </c>
      <c r="B147" s="100" t="s">
        <v>37</v>
      </c>
      <c r="C147" s="63">
        <f>'Kalkylerad finansiering av soci'!C106+'Kalkylerade finansieringen av r'!C44</f>
        <v>342755008.53455848</v>
      </c>
      <c r="D147" s="40">
        <f>'Kalkylerad finansiering av soci'!D106</f>
        <v>985314106.23613572</v>
      </c>
      <c r="E147" s="40">
        <f>'Kalkylerad finansiering av soci'!E106</f>
        <v>266863343.3770662</v>
      </c>
      <c r="F147" s="40">
        <f>'Kalkylerad finansiering av soci'!F106</f>
        <v>319208342.89806134</v>
      </c>
      <c r="G147" s="40">
        <f>'Kalkylerad finansiering av soci'!G106</f>
        <v>101536359.79133669</v>
      </c>
      <c r="H147" s="40">
        <f>'Kalkylerad finansiering av soci'!H106</f>
        <v>14014602.968875796</v>
      </c>
      <c r="I147" s="63">
        <f>'Kalkylerad finansiering av soci'!I106+'Kalkylerade finansieringen av r'!D44</f>
        <v>249539.85384772005</v>
      </c>
      <c r="J147" s="40">
        <f>'Kalkylerad finansiering av soci'!J106</f>
        <v>0</v>
      </c>
      <c r="K147" s="40">
        <f>'Kalkylerad finansiering av soci'!K106</f>
        <v>22913830.535422899</v>
      </c>
      <c r="L147" s="40">
        <f>'Kalkylerad finansiering av soci'!L106</f>
        <v>0</v>
      </c>
      <c r="M147" s="63">
        <f>'Kalkylerade finansieringen av r'!E44</f>
        <v>7529158.1953293392</v>
      </c>
      <c r="N147" s="195">
        <f>SUM(C147:M147)</f>
        <v>2060384292.3906343</v>
      </c>
      <c r="O147" s="26">
        <f>N147/C10</f>
        <v>3179.3993173137455</v>
      </c>
      <c r="S147" s="103"/>
      <c r="V147" s="103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80"/>
      <c r="AI147" s="180"/>
      <c r="AJ147" s="181"/>
      <c r="AK147" s="25"/>
      <c r="AL147" s="103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25"/>
      <c r="AX147" s="103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25"/>
      <c r="BJ147" s="25"/>
      <c r="BK147" s="25"/>
      <c r="BL147" s="25"/>
      <c r="BM147" s="25"/>
    </row>
    <row r="148" spans="1:65" x14ac:dyDescent="0.35">
      <c r="A148" s="99">
        <v>32</v>
      </c>
      <c r="B148" s="100" t="s">
        <v>39</v>
      </c>
      <c r="C148" s="63">
        <f>'Kalkylerad finansiering av soci'!C107+'Kalkylerade finansieringen av r'!C45</f>
        <v>139854020.81455824</v>
      </c>
      <c r="D148" s="40">
        <f>'Kalkylerad finansiering av soci'!D107</f>
        <v>402548564.19954598</v>
      </c>
      <c r="E148" s="40">
        <f>'Kalkylerad finansiering av soci'!E107</f>
        <v>74727547.49670513</v>
      </c>
      <c r="F148" s="40">
        <f>'Kalkylerad finansiering av soci'!F107</f>
        <v>131382477.4938525</v>
      </c>
      <c r="G148" s="40">
        <f>'Kalkylerad finansiering av soci'!G107</f>
        <v>46887711.011524111</v>
      </c>
      <c r="H148" s="40">
        <f>'Kalkylerad finansiering av soci'!H107</f>
        <v>2310896.1291026687</v>
      </c>
      <c r="I148" s="63">
        <f>'Kalkylerad finansiering av soci'!I107+'Kalkylerade finansieringen av r'!D45</f>
        <v>275341.25535161095</v>
      </c>
      <c r="J148" s="40">
        <f>'Kalkylerad finansiering av soci'!J107</f>
        <v>0</v>
      </c>
      <c r="K148" s="40">
        <f>'Kalkylerad finansiering av soci'!K107</f>
        <v>9349509.862287512</v>
      </c>
      <c r="L148" s="40">
        <f>'Kalkylerad finansiering av soci'!L107</f>
        <v>0</v>
      </c>
      <c r="M148" s="63">
        <f>'Kalkylerade finansieringen av r'!E45</f>
        <v>6212584.0846706582</v>
      </c>
      <c r="N148" s="195">
        <f t="shared" ref="N148:N168" si="49">SUM(C148:M148)</f>
        <v>813548652.34759855</v>
      </c>
      <c r="O148" s="26">
        <f t="shared" ref="O148:O169" si="50">N148/C11</f>
        <v>3076.7288871779688</v>
      </c>
      <c r="S148" s="103"/>
      <c r="V148" s="103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80"/>
      <c r="AI148" s="180"/>
      <c r="AJ148" s="181"/>
      <c r="AK148" s="25"/>
      <c r="AL148" s="103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25"/>
      <c r="AX148" s="103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25"/>
      <c r="BJ148" s="25"/>
      <c r="BK148" s="25"/>
      <c r="BL148" s="25"/>
      <c r="BM148" s="25"/>
    </row>
    <row r="149" spans="1:65" x14ac:dyDescent="0.35">
      <c r="A149" s="99">
        <v>33</v>
      </c>
      <c r="B149" s="100" t="s">
        <v>41</v>
      </c>
      <c r="C149" s="63">
        <f>'Kalkylerad finansiering av soci'!C108+'Kalkylerade finansieringen av r'!C46</f>
        <v>245573336.25384247</v>
      </c>
      <c r="D149" s="40">
        <f>'Kalkylerad finansiering av soci'!D108</f>
        <v>683959901.75212181</v>
      </c>
      <c r="E149" s="40">
        <f>'Kalkylerad finansiering av soci'!E108</f>
        <v>150567179.89207497</v>
      </c>
      <c r="F149" s="40">
        <f>'Kalkylerad finansiering av soci'!F108</f>
        <v>206565288.5951978</v>
      </c>
      <c r="G149" s="40">
        <f>'Kalkylerad finansiering av soci'!G108</f>
        <v>58000121.456057929</v>
      </c>
      <c r="H149" s="40">
        <f>'Kalkylerad finansiering av soci'!H108</f>
        <v>22193656.150913976</v>
      </c>
      <c r="I149" s="63">
        <f>'Kalkylerad finansiering av soci'!I108+'Kalkylerade finansieringen av r'!D46</f>
        <v>4561092.5473815491</v>
      </c>
      <c r="J149" s="40">
        <f>'Kalkylerad finansiering av soci'!J108</f>
        <v>0</v>
      </c>
      <c r="K149" s="40">
        <f>'Kalkylerad finansiering av soci'!K108</f>
        <v>16417049.119127963</v>
      </c>
      <c r="L149" s="40">
        <f>'Kalkylerad finansiering av soci'!L108</f>
        <v>0</v>
      </c>
      <c r="M149" s="63">
        <f>'Kalkylerade finansieringen av r'!E46</f>
        <v>10614878.767185625</v>
      </c>
      <c r="N149" s="195">
        <f t="shared" si="49"/>
        <v>1398452504.5339043</v>
      </c>
      <c r="O149" s="26">
        <f t="shared" si="50"/>
        <v>3011.9458984322796</v>
      </c>
      <c r="S149" s="103"/>
      <c r="V149" s="103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80"/>
      <c r="AI149" s="180"/>
      <c r="AJ149" s="181"/>
      <c r="AK149" s="25"/>
      <c r="AL149" s="103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25"/>
      <c r="AX149" s="103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25"/>
      <c r="BJ149" s="25"/>
      <c r="BK149" s="25"/>
      <c r="BL149" s="25"/>
      <c r="BM149" s="25"/>
    </row>
    <row r="150" spans="1:65" x14ac:dyDescent="0.35">
      <c r="A150" s="99">
        <v>34</v>
      </c>
      <c r="B150" s="103" t="s">
        <v>43</v>
      </c>
      <c r="C150" s="63">
        <f>'Kalkylerad finansiering av soci'!C109+'Kalkylerade finansieringen av r'!C47</f>
        <v>51443240.399691321</v>
      </c>
      <c r="D150" s="40">
        <f>'Kalkylerad finansiering av soci'!D109</f>
        <v>161211465.75722739</v>
      </c>
      <c r="E150" s="40">
        <f>'Kalkylerad finansiering av soci'!E109</f>
        <v>48703299.801966965</v>
      </c>
      <c r="F150" s="40">
        <f>'Kalkylerad finansiering av soci'!F109</f>
        <v>49476120.037156679</v>
      </c>
      <c r="G150" s="40">
        <f>'Kalkylerad finansiering av soci'!G109</f>
        <v>5425576.5639544604</v>
      </c>
      <c r="H150" s="40">
        <f>'Kalkylerad finansiering av soci'!H109</f>
        <v>10938778.73860601</v>
      </c>
      <c r="I150" s="63">
        <f>'Kalkylerad finansiering av soci'!I109+'Kalkylerade finansieringen av r'!D47</f>
        <v>2935392.5651179394</v>
      </c>
      <c r="J150" s="40">
        <f>'Kalkylerad finansiering av soci'!J109</f>
        <v>0</v>
      </c>
      <c r="K150" s="40">
        <f>'Kalkylerad finansiering av soci'!K109</f>
        <v>3439079.4105425845</v>
      </c>
      <c r="L150" s="40">
        <f>'Kalkylerad finansiering av soci'!L109</f>
        <v>0</v>
      </c>
      <c r="M150" s="63">
        <f>'Kalkylerade finansieringen av r'!E47</f>
        <v>2386290.5755688618</v>
      </c>
      <c r="N150" s="195">
        <f t="shared" si="49"/>
        <v>335959243.8498323</v>
      </c>
      <c r="O150" s="26">
        <f t="shared" si="50"/>
        <v>3454.1320322201896</v>
      </c>
      <c r="S150" s="103"/>
      <c r="V150" s="103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80"/>
      <c r="AI150" s="180"/>
      <c r="AJ150" s="181"/>
      <c r="AK150" s="25"/>
      <c r="AL150" s="103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25"/>
      <c r="AX150" s="103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25"/>
      <c r="BJ150" s="25"/>
      <c r="BK150" s="25"/>
      <c r="BL150" s="25"/>
      <c r="BM150" s="25"/>
    </row>
    <row r="151" spans="1:65" x14ac:dyDescent="0.35">
      <c r="A151" s="102">
        <v>35</v>
      </c>
      <c r="B151" s="103" t="s">
        <v>45</v>
      </c>
      <c r="C151" s="45">
        <f>'Kalkylerad finansiering av soci'!C110+'Kalkylerade finansieringen av r'!C48</f>
        <v>104193414.03224239</v>
      </c>
      <c r="D151" s="182">
        <f>'Kalkylerad finansiering av soci'!D110</f>
        <v>313155229.56585711</v>
      </c>
      <c r="E151" s="182">
        <f>'Kalkylerad finansiering av soci'!E110</f>
        <v>77768572.023764402</v>
      </c>
      <c r="F151" s="182">
        <f>'Kalkylerad finansiering av soci'!F110</f>
        <v>99867424.793782532</v>
      </c>
      <c r="G151" s="182">
        <f>'Kalkylerad finansiering av soci'!G110</f>
        <v>9923789.3704235964</v>
      </c>
      <c r="H151" s="182">
        <f>'Kalkylerad finansiering av soci'!H110</f>
        <v>0</v>
      </c>
      <c r="I151" s="45">
        <f>'Kalkylerad finansiering av soci'!I110+'Kalkylerade finansieringen av r'!D48</f>
        <v>1710247.12497614</v>
      </c>
      <c r="J151" s="182">
        <f>'Kalkylerad finansiering av soci'!J110</f>
        <v>0</v>
      </c>
      <c r="K151" s="182">
        <f>'Kalkylerad finansiering av soci'!K110</f>
        <v>6965529.8174913125</v>
      </c>
      <c r="L151" s="182">
        <f>'Kalkylerad finansiering av soci'!L110</f>
        <v>0</v>
      </c>
      <c r="M151" s="45">
        <f>'Kalkylerade finansieringen av r'!E48</f>
        <v>5595439.9702993995</v>
      </c>
      <c r="N151" s="195">
        <f t="shared" si="49"/>
        <v>619179646.69883668</v>
      </c>
      <c r="O151" s="26">
        <f t="shared" si="50"/>
        <v>3143.0917562137324</v>
      </c>
      <c r="S151" s="103"/>
      <c r="V151" s="103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80"/>
      <c r="AI151" s="180"/>
      <c r="AJ151" s="181"/>
      <c r="AK151" s="25"/>
      <c r="AL151" s="103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25"/>
      <c r="AX151" s="103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25"/>
      <c r="BJ151" s="25"/>
      <c r="BK151" s="25"/>
      <c r="BL151" s="25"/>
      <c r="BM151" s="25"/>
    </row>
    <row r="152" spans="1:65" x14ac:dyDescent="0.35">
      <c r="A152" s="3">
        <v>2</v>
      </c>
      <c r="B152" s="16" t="s">
        <v>47</v>
      </c>
      <c r="C152" s="63">
        <f>'Kalkylerad finansiering av soci'!C111+'Kalkylerade finansieringen av r'!C49</f>
        <v>253126151.53722456</v>
      </c>
      <c r="D152" s="40">
        <f>'Kalkylerad finansiering av soci'!D111</f>
        <v>834919034.02027404</v>
      </c>
      <c r="E152" s="40">
        <f>'Kalkylerad finansiering av soci'!E111</f>
        <v>301178986.60376072</v>
      </c>
      <c r="F152" s="40">
        <f>'Kalkylerad finansiering av soci'!F111</f>
        <v>291807411.4865073</v>
      </c>
      <c r="G152" s="40">
        <f>'Kalkylerad finansiering av soci'!G111</f>
        <v>34084108.16624286</v>
      </c>
      <c r="H152" s="40">
        <f>'Kalkylerad finansiering av soci'!H111</f>
        <v>10410541.02782009</v>
      </c>
      <c r="I152" s="63">
        <f>'Kalkylerad finansiering av soci'!I111+'Kalkylerade finansieringen av r'!D49</f>
        <v>11508141.299840502</v>
      </c>
      <c r="J152" s="40">
        <f>'Kalkylerad finansiering av soci'!J111</f>
        <v>14143840.471635196</v>
      </c>
      <c r="K152" s="40">
        <f>'Kalkylerad finansiering av soci'!K111</f>
        <v>16921969.324987829</v>
      </c>
      <c r="L152" s="40">
        <f>'Kalkylerad finansiering av soci'!L111</f>
        <v>0</v>
      </c>
      <c r="M152" s="63">
        <f>'Kalkylerade finansieringen av r'!E49</f>
        <v>13659456.398083828</v>
      </c>
      <c r="N152" s="195">
        <f t="shared" si="49"/>
        <v>1781759640.3363769</v>
      </c>
      <c r="O152" s="26">
        <f t="shared" si="50"/>
        <v>3722.9976061288908</v>
      </c>
      <c r="S152" s="10"/>
      <c r="V152" s="10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80"/>
      <c r="AI152" s="180"/>
      <c r="AJ152" s="181"/>
      <c r="AK152" s="25"/>
      <c r="AL152" s="175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25"/>
      <c r="AX152" s="175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25"/>
      <c r="BJ152" s="25"/>
      <c r="BK152" s="25"/>
      <c r="BL152" s="25"/>
      <c r="BM152" s="25"/>
    </row>
    <row r="153" spans="1:65" x14ac:dyDescent="0.35">
      <c r="A153" s="3">
        <v>4</v>
      </c>
      <c r="B153" s="16" t="s">
        <v>49</v>
      </c>
      <c r="C153" s="63">
        <f>'Kalkylerad finansiering av soci'!C112+'Kalkylerade finansieringen av r'!C50</f>
        <v>115632121.04440656</v>
      </c>
      <c r="D153" s="40">
        <f>'Kalkylerad finansiering av soci'!D112</f>
        <v>391328366.66436416</v>
      </c>
      <c r="E153" s="40">
        <f>'Kalkylerad finansiering av soci'!E112</f>
        <v>156395949.63985085</v>
      </c>
      <c r="F153" s="40">
        <f>'Kalkylerad finansiering av soci'!F112</f>
        <v>147565934.32089168</v>
      </c>
      <c r="G153" s="40">
        <f>'Kalkylerad finansiering av soci'!G112</f>
        <v>7610365.803363434</v>
      </c>
      <c r="H153" s="40">
        <f>'Kalkylerad finansiering av soci'!H112</f>
        <v>0</v>
      </c>
      <c r="I153" s="63">
        <f>'Kalkylerad finansiering av soci'!I112+'Kalkylerade finansieringen av r'!D50</f>
        <v>8231840.9745508488</v>
      </c>
      <c r="J153" s="40">
        <f>'Kalkylerad finansiering av soci'!J112</f>
        <v>0</v>
      </c>
      <c r="K153" s="40">
        <f>'Kalkylerad finansiering av soci'!K112</f>
        <v>7730229.3477526093</v>
      </c>
      <c r="L153" s="40">
        <f>'Kalkylerad finansiering av soci'!L112</f>
        <v>0</v>
      </c>
      <c r="M153" s="63">
        <f>'Kalkylerade finansieringen av r'!E50</f>
        <v>7570301.1362874219</v>
      </c>
      <c r="N153" s="195">
        <f t="shared" si="49"/>
        <v>842065108.93146753</v>
      </c>
      <c r="O153" s="26">
        <f t="shared" si="50"/>
        <v>3851.6590535872892</v>
      </c>
      <c r="S153" s="10"/>
      <c r="V153" s="10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80"/>
      <c r="AI153" s="180"/>
      <c r="AJ153" s="181"/>
      <c r="AK153" s="25"/>
      <c r="AL153" s="175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25"/>
      <c r="AX153" s="175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25"/>
      <c r="BJ153" s="25"/>
      <c r="BK153" s="25"/>
      <c r="BL153" s="25"/>
      <c r="BM153" s="25"/>
    </row>
    <row r="154" spans="1:65" x14ac:dyDescent="0.35">
      <c r="A154" s="3">
        <v>5</v>
      </c>
      <c r="B154" s="16" t="s">
        <v>51</v>
      </c>
      <c r="C154" s="63">
        <f>'Kalkylerad finansiering av soci'!C113+'Kalkylerade finansieringen av r'!C51</f>
        <v>90635899.035118222</v>
      </c>
      <c r="D154" s="40">
        <f>'Kalkylerad finansiering av soci'!D113</f>
        <v>310244803.71300447</v>
      </c>
      <c r="E154" s="40">
        <f>'Kalkylerad finansiering av soci'!E113</f>
        <v>108248924.47577281</v>
      </c>
      <c r="F154" s="40">
        <f>'Kalkylerad finansiering av soci'!F113</f>
        <v>105504801.67017972</v>
      </c>
      <c r="G154" s="40">
        <f>'Kalkylerad finansiering av soci'!G113</f>
        <v>6981154.4797362946</v>
      </c>
      <c r="H154" s="40">
        <f>'Kalkylerad finansiering av soci'!H113</f>
        <v>0</v>
      </c>
      <c r="I154" s="63">
        <f>'Kalkylerad finansiering av soci'!I113+'Kalkylerade finansieringen av r'!D51</f>
        <v>5349633.5951209068</v>
      </c>
      <c r="J154" s="40">
        <f>'Kalkylerad finansiering av soci'!J113</f>
        <v>0</v>
      </c>
      <c r="K154" s="40">
        <f>'Kalkylerad finansiering av soci'!K113</f>
        <v>6059183.9045497207</v>
      </c>
      <c r="L154" s="40">
        <f>'Kalkylerad finansiering av soci'!L113</f>
        <v>0</v>
      </c>
      <c r="M154" s="63">
        <f>'Kalkylerade finansieringen av r'!E51</f>
        <v>5101724.6788023943</v>
      </c>
      <c r="N154" s="195">
        <f t="shared" si="49"/>
        <v>638126125.55228448</v>
      </c>
      <c r="O154" s="26">
        <f t="shared" si="50"/>
        <v>3723.8050322838199</v>
      </c>
      <c r="S154" s="10"/>
      <c r="V154" s="10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80"/>
      <c r="AI154" s="180"/>
      <c r="AJ154" s="181"/>
      <c r="AK154" s="25"/>
      <c r="AL154" s="175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25"/>
      <c r="AX154" s="175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25"/>
      <c r="BJ154" s="25"/>
      <c r="BK154" s="25"/>
      <c r="BL154" s="25"/>
      <c r="BM154" s="25"/>
    </row>
    <row r="155" spans="1:65" x14ac:dyDescent="0.35">
      <c r="A155" s="3">
        <v>6</v>
      </c>
      <c r="B155" s="16" t="s">
        <v>53</v>
      </c>
      <c r="C155" s="63">
        <f>'Kalkylerad finansiering av soci'!C114+'Kalkylerade finansieringen av r'!C52</f>
        <v>273621889.98584777</v>
      </c>
      <c r="D155" s="40">
        <f>'Kalkylerad finansiering av soci'!D114</f>
        <v>887232187.49648654</v>
      </c>
      <c r="E155" s="40">
        <f>'Kalkylerad finansiering av soci'!E114</f>
        <v>302845781.58060265</v>
      </c>
      <c r="F155" s="40">
        <f>'Kalkylerad finansiering av soci'!F114</f>
        <v>302390165.13545793</v>
      </c>
      <c r="G155" s="40">
        <f>'Kalkylerad finansiering av soci'!G114</f>
        <v>24926141.76974263</v>
      </c>
      <c r="H155" s="40">
        <f>'Kalkylerad finansiering av soci'!H114</f>
        <v>0</v>
      </c>
      <c r="I155" s="63">
        <f>'Kalkylerad finansiering av soci'!I114+'Kalkylerade finansieringen av r'!D52</f>
        <v>13628489.908705316</v>
      </c>
      <c r="J155" s="40">
        <f>'Kalkylerad finansiering av soci'!J114</f>
        <v>0</v>
      </c>
      <c r="K155" s="40">
        <f>'Kalkylerad finansiering av soci'!K114</f>
        <v>18292148.799586963</v>
      </c>
      <c r="L155" s="40">
        <f>'Kalkylerad finansiering av soci'!L114</f>
        <v>0</v>
      </c>
      <c r="M155" s="63">
        <f>'Kalkylerade finansieringen av r'!E52</f>
        <v>12795454.63796407</v>
      </c>
      <c r="N155" s="195">
        <f t="shared" si="49"/>
        <v>1835732259.314394</v>
      </c>
      <c r="O155" s="26">
        <f t="shared" si="50"/>
        <v>3548.4538185547685</v>
      </c>
      <c r="S155" s="10"/>
      <c r="V155" s="10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80"/>
      <c r="AI155" s="180"/>
      <c r="AJ155" s="181"/>
      <c r="AK155" s="25"/>
      <c r="AL155" s="175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25"/>
      <c r="AX155" s="175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25"/>
      <c r="BJ155" s="25"/>
      <c r="BK155" s="25"/>
      <c r="BL155" s="25"/>
      <c r="BM155" s="25"/>
    </row>
    <row r="156" spans="1:65" x14ac:dyDescent="0.35">
      <c r="A156" s="3">
        <v>7</v>
      </c>
      <c r="B156" s="16" t="s">
        <v>55</v>
      </c>
      <c r="C156" s="63">
        <f>'Kalkylerad finansiering av soci'!C115+'Kalkylerade finansieringen av r'!C53</f>
        <v>109692477.09255916</v>
      </c>
      <c r="D156" s="40">
        <f>'Kalkylerad finansiering av soci'!D115</f>
        <v>380896004.75519609</v>
      </c>
      <c r="E156" s="40">
        <f>'Kalkylerad finansiering av soci'!E115</f>
        <v>137000905.77254874</v>
      </c>
      <c r="F156" s="40">
        <f>'Kalkylerad finansiering av soci'!F115</f>
        <v>133335691.15320721</v>
      </c>
      <c r="G156" s="40">
        <f>'Kalkylerad finansiering av soci'!G115</f>
        <v>10674654.864387522</v>
      </c>
      <c r="H156" s="40">
        <f>'Kalkylerad finansiering av soci'!H115</f>
        <v>0</v>
      </c>
      <c r="I156" s="63">
        <f>'Kalkylerad finansiering av soci'!I115+'Kalkylerade finansieringen av r'!D53</f>
        <v>5878485.2203052007</v>
      </c>
      <c r="J156" s="40">
        <f>'Kalkylerad finansiering av soci'!J115</f>
        <v>0</v>
      </c>
      <c r="K156" s="40">
        <f>'Kalkylerad finansiering av soci'!K115</f>
        <v>7333152.743284381</v>
      </c>
      <c r="L156" s="40">
        <f>'Kalkylerad finansiering av soci'!L115</f>
        <v>0</v>
      </c>
      <c r="M156" s="63">
        <f>'Kalkylerade finansieringen av r'!E53</f>
        <v>6377155.8485029927</v>
      </c>
      <c r="N156" s="195">
        <f t="shared" si="49"/>
        <v>791188527.44999123</v>
      </c>
      <c r="O156" s="26">
        <f t="shared" si="50"/>
        <v>3814.9055780301805</v>
      </c>
      <c r="S156" s="10"/>
      <c r="V156" s="10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80"/>
      <c r="AI156" s="180"/>
      <c r="AJ156" s="181"/>
      <c r="AK156" s="25"/>
      <c r="AL156" s="175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25"/>
      <c r="AX156" s="175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25"/>
      <c r="BJ156" s="25"/>
      <c r="BK156" s="25"/>
      <c r="BL156" s="25"/>
      <c r="BM156" s="25"/>
    </row>
    <row r="157" spans="1:65" x14ac:dyDescent="0.35">
      <c r="A157" s="3">
        <v>8</v>
      </c>
      <c r="B157" s="16" t="s">
        <v>57</v>
      </c>
      <c r="C157" s="63">
        <f>'Kalkylerad finansiering av soci'!C116+'Kalkylerade finansieringen av r'!C54</f>
        <v>88128343.204690039</v>
      </c>
      <c r="D157" s="40">
        <f>'Kalkylerad finansiering av soci'!D116</f>
        <v>310687713.64072633</v>
      </c>
      <c r="E157" s="40">
        <f>'Kalkylerad finansiering av soci'!E116</f>
        <v>137147321.67167547</v>
      </c>
      <c r="F157" s="40">
        <f>'Kalkylerad finansiering av soci'!F116</f>
        <v>114403294.1440441</v>
      </c>
      <c r="G157" s="40">
        <f>'Kalkylerad finansiering av soci'!G116</f>
        <v>10084332.988654926</v>
      </c>
      <c r="H157" s="40">
        <f>'Kalkylerad finansiering av soci'!H116</f>
        <v>488341.76167790458</v>
      </c>
      <c r="I157" s="63">
        <f>'Kalkylerad finansiering av soci'!I116+'Kalkylerade finansieringen av r'!D54</f>
        <v>4837484.7708482808</v>
      </c>
      <c r="J157" s="40">
        <f>'Kalkylerad finansiering av soci'!J116</f>
        <v>0</v>
      </c>
      <c r="K157" s="40">
        <f>'Kalkylerad finansiering av soci'!K116</f>
        <v>5891548.9818619313</v>
      </c>
      <c r="L157" s="40">
        <f>'Kalkylerad finansiering av soci'!L116</f>
        <v>0</v>
      </c>
      <c r="M157" s="63">
        <f>'Kalkylerade finansieringen av r'!E54</f>
        <v>6006869.3798802383</v>
      </c>
      <c r="N157" s="195">
        <f t="shared" si="49"/>
        <v>677675250.54405916</v>
      </c>
      <c r="O157" s="26">
        <f t="shared" si="50"/>
        <v>4067.1170879413958</v>
      </c>
      <c r="S157" s="10"/>
      <c r="V157" s="10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80"/>
      <c r="AI157" s="180"/>
      <c r="AJ157" s="181"/>
      <c r="AK157" s="25"/>
      <c r="AL157" s="175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25"/>
      <c r="AX157" s="175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25"/>
      <c r="BJ157" s="25"/>
      <c r="BK157" s="25"/>
      <c r="BL157" s="25"/>
      <c r="BM157" s="25"/>
    </row>
    <row r="158" spans="1:65" x14ac:dyDescent="0.35">
      <c r="A158" s="3">
        <v>9</v>
      </c>
      <c r="B158" s="16" t="s">
        <v>59</v>
      </c>
      <c r="C158" s="63">
        <f>'Kalkylerad finansiering av soci'!C117+'Kalkylerade finansieringen av r'!C55</f>
        <v>68100159.98789525</v>
      </c>
      <c r="D158" s="40">
        <f>'Kalkylerad finansiering av soci'!D117</f>
        <v>232818233.95529258</v>
      </c>
      <c r="E158" s="40">
        <f>'Kalkylerad finansiering av soci'!E117</f>
        <v>94004580.848902106</v>
      </c>
      <c r="F158" s="40">
        <f>'Kalkylerad finansiering av soci'!F117</f>
        <v>82477000.917294919</v>
      </c>
      <c r="G158" s="40">
        <f>'Kalkylerad finansiering av soci'!G117</f>
        <v>7851679.813375744</v>
      </c>
      <c r="H158" s="40">
        <f>'Kalkylerad finansiering av soci'!H117</f>
        <v>0</v>
      </c>
      <c r="I158" s="63">
        <f>'Kalkylerad finansiering av soci'!I117+'Kalkylerade finansieringen av r'!D55</f>
        <v>5565174.7659694776</v>
      </c>
      <c r="J158" s="40">
        <f>'Kalkylerad finansiering av soci'!J117</f>
        <v>0</v>
      </c>
      <c r="K158" s="40">
        <f>'Kalkylerad finansiering av soci'!K117</f>
        <v>4552626.4723874545</v>
      </c>
      <c r="L158" s="40">
        <f>'Kalkylerad finansiering av soci'!L117</f>
        <v>0</v>
      </c>
      <c r="M158" s="63">
        <f>'Kalkylerade finansieringen av r'!E55</f>
        <v>4155437.0367664662</v>
      </c>
      <c r="N158" s="195">
        <f t="shared" si="49"/>
        <v>499524893.79788399</v>
      </c>
      <c r="O158" s="26">
        <f t="shared" si="50"/>
        <v>3879.6242023508339</v>
      </c>
      <c r="S158" s="10"/>
      <c r="V158" s="10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80"/>
      <c r="AI158" s="180"/>
      <c r="AJ158" s="181"/>
      <c r="AK158" s="25"/>
      <c r="AL158" s="175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25"/>
      <c r="AX158" s="175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25"/>
      <c r="BJ158" s="25"/>
      <c r="BK158" s="25"/>
      <c r="BL158" s="25"/>
      <c r="BM158" s="25"/>
    </row>
    <row r="159" spans="1:65" x14ac:dyDescent="0.35">
      <c r="A159" s="3">
        <v>10</v>
      </c>
      <c r="B159" s="16" t="s">
        <v>61</v>
      </c>
      <c r="C159" s="63">
        <f>'Kalkylerad finansiering av soci'!C118+'Kalkylerade finansieringen av r'!C56</f>
        <v>72182276.819627956</v>
      </c>
      <c r="D159" s="40">
        <f>'Kalkylerad finansiering av soci'!D118</f>
        <v>270613958.52907896</v>
      </c>
      <c r="E159" s="40">
        <f>'Kalkylerad finansiering av soci'!E118</f>
        <v>116232410.06310086</v>
      </c>
      <c r="F159" s="40">
        <f>'Kalkylerad finansiering av soci'!F118</f>
        <v>104947132.7934467</v>
      </c>
      <c r="G159" s="40">
        <f>'Kalkylerad finansiering av soci'!G118</f>
        <v>4511175.9557673186</v>
      </c>
      <c r="H159" s="40">
        <f>'Kalkylerad finansiering av soci'!H118</f>
        <v>0</v>
      </c>
      <c r="I159" s="63">
        <f>'Kalkylerad finansiering av soci'!I118+'Kalkylerade finansieringen av r'!D56</f>
        <v>13313612.207944896</v>
      </c>
      <c r="J159" s="40">
        <f>'Kalkylerad finansiering av soci'!J118</f>
        <v>3773397.5528714624</v>
      </c>
      <c r="K159" s="40">
        <f>'Kalkylerad finansiering av soci'!K118</f>
        <v>4825523.8217450492</v>
      </c>
      <c r="L159" s="40">
        <f>'Kalkylerad finansiering av soci'!L118</f>
        <v>0</v>
      </c>
      <c r="M159" s="63">
        <f>'Kalkylerade finansieringen av r'!E56</f>
        <v>4320008.800598802</v>
      </c>
      <c r="N159" s="195">
        <f t="shared" si="49"/>
        <v>594719496.54418194</v>
      </c>
      <c r="O159" s="26">
        <f t="shared" si="50"/>
        <v>4357.749436113706</v>
      </c>
      <c r="S159" s="10"/>
      <c r="V159" s="10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80"/>
      <c r="AI159" s="180"/>
      <c r="AJ159" s="181"/>
      <c r="AK159" s="25"/>
      <c r="AL159" s="10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25"/>
      <c r="AX159" s="10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25"/>
      <c r="BJ159" s="25"/>
      <c r="BK159" s="25"/>
      <c r="BL159" s="25"/>
      <c r="BM159" s="25"/>
    </row>
    <row r="160" spans="1:65" x14ac:dyDescent="0.35">
      <c r="A160" s="3">
        <v>11</v>
      </c>
      <c r="B160" s="16" t="s">
        <v>63</v>
      </c>
      <c r="C160" s="63">
        <f>'Kalkylerad finansiering av soci'!C119+'Kalkylerade finansieringen av r'!C57</f>
        <v>132446126.49669765</v>
      </c>
      <c r="D160" s="40">
        <f>'Kalkylerad finansiering av soci'!D119</f>
        <v>474295895.24419081</v>
      </c>
      <c r="E160" s="40">
        <f>'Kalkylerad finansiering av soci'!E119</f>
        <v>176936507.94504973</v>
      </c>
      <c r="F160" s="40">
        <f>'Kalkylerad finansiering av soci'!F119</f>
        <v>186155791.41503718</v>
      </c>
      <c r="G160" s="40">
        <f>'Kalkylerad finansiering av soci'!G119</f>
        <v>7501674.782324831</v>
      </c>
      <c r="H160" s="40">
        <f>'Kalkylerad finansiering av soci'!H119</f>
        <v>0</v>
      </c>
      <c r="I160" s="63">
        <f>'Kalkylerad finansiering av soci'!I119+'Kalkylerade finansieringen av r'!D57</f>
        <v>17928632.159341883</v>
      </c>
      <c r="J160" s="40">
        <f>'Kalkylerad finansiering av soci'!J119</f>
        <v>0</v>
      </c>
      <c r="K160" s="40">
        <f>'Kalkylerad finansiering av soci'!K119</f>
        <v>8854277.901273977</v>
      </c>
      <c r="L160" s="40">
        <f>'Kalkylerad finansiering av soci'!L119</f>
        <v>0</v>
      </c>
      <c r="M160" s="63">
        <f>'Kalkylerade finansieringen av r'!E57</f>
        <v>5965726.4389221547</v>
      </c>
      <c r="N160" s="195">
        <f t="shared" si="49"/>
        <v>1010084632.3828382</v>
      </c>
      <c r="O160" s="26">
        <f t="shared" si="50"/>
        <v>4033.6587905741621</v>
      </c>
      <c r="S160" s="10"/>
      <c r="V160" s="10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80"/>
      <c r="AI160" s="180"/>
      <c r="AJ160" s="181"/>
      <c r="AK160" s="25"/>
      <c r="AL160" s="10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25"/>
      <c r="AX160" s="10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25"/>
      <c r="BJ160" s="25"/>
      <c r="BK160" s="25"/>
      <c r="BL160" s="25"/>
      <c r="BM160" s="25"/>
    </row>
    <row r="161" spans="1:65" x14ac:dyDescent="0.35">
      <c r="A161" s="3">
        <v>12</v>
      </c>
      <c r="B161" s="16" t="s">
        <v>65</v>
      </c>
      <c r="C161" s="63">
        <f>'Kalkylerad finansiering av soci'!C120+'Kalkylerade finansieringen av r'!C58</f>
        <v>87570873.505202323</v>
      </c>
      <c r="D161" s="40">
        <f>'Kalkylerad finansiering av soci'!D120</f>
        <v>318806820.66553926</v>
      </c>
      <c r="E161" s="40">
        <f>'Kalkylerad finansiering av soci'!E120</f>
        <v>123187694.63499123</v>
      </c>
      <c r="F161" s="40">
        <f>'Kalkylerad finansiering av soci'!F120</f>
        <v>131094619.02940518</v>
      </c>
      <c r="G161" s="40">
        <f>'Kalkylerad finansiering av soci'!G120</f>
        <v>6090685.8394842576</v>
      </c>
      <c r="H161" s="40">
        <f>'Kalkylerad finansiering av soci'!H120</f>
        <v>0</v>
      </c>
      <c r="I161" s="63">
        <f>'Kalkylerad finansiering av soci'!I120+'Kalkylerade finansieringen av r'!D58</f>
        <v>19394346.579748027</v>
      </c>
      <c r="J161" s="40">
        <f>'Kalkylerad finansiering av soci'!J120</f>
        <v>0</v>
      </c>
      <c r="K161" s="40">
        <f>'Kalkylerad finansiering av soci'!K120</f>
        <v>5854281.0619056085</v>
      </c>
      <c r="L161" s="40">
        <f>'Kalkylerad finansiering av soci'!L120</f>
        <v>0</v>
      </c>
      <c r="M161" s="63">
        <f>'Kalkylerade finansieringen av r'!E58</f>
        <v>4608009.3873053882</v>
      </c>
      <c r="N161" s="195">
        <f t="shared" si="49"/>
        <v>696607330.70358121</v>
      </c>
      <c r="O161" s="26">
        <f t="shared" si="50"/>
        <v>4207.353615130738</v>
      </c>
      <c r="S161" s="10"/>
      <c r="V161" s="10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80"/>
      <c r="AI161" s="180"/>
      <c r="AJ161" s="181"/>
      <c r="AK161" s="25"/>
      <c r="AL161" s="175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25"/>
      <c r="AX161" s="175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25"/>
      <c r="BJ161" s="25"/>
      <c r="BK161" s="25"/>
      <c r="BL161" s="25"/>
      <c r="BM161" s="25"/>
    </row>
    <row r="162" spans="1:65" x14ac:dyDescent="0.35">
      <c r="A162" s="3">
        <v>13</v>
      </c>
      <c r="B162" s="16" t="s">
        <v>67</v>
      </c>
      <c r="C162" s="63">
        <f>'Kalkylerad finansiering av soci'!C121+'Kalkylerade finansieringen av r'!C59</f>
        <v>144541738.03140807</v>
      </c>
      <c r="D162" s="40">
        <f>'Kalkylerad finansiering av soci'!D121</f>
        <v>477817993.15428954</v>
      </c>
      <c r="E162" s="40">
        <f>'Kalkylerad finansiering av soci'!E121</f>
        <v>168482480.2198891</v>
      </c>
      <c r="F162" s="40">
        <f>'Kalkylerad finansiering av soci'!F121</f>
        <v>176952331.03106475</v>
      </c>
      <c r="G162" s="40">
        <f>'Kalkylerad finansiering av soci'!G121</f>
        <v>9074204.5087273642</v>
      </c>
      <c r="H162" s="40">
        <f>'Kalkylerad finansiering av soci'!H121</f>
        <v>0</v>
      </c>
      <c r="I162" s="63">
        <f>'Kalkylerad finansiering av soci'!I121+'Kalkylerade finansieringen av r'!D59</f>
        <v>16649572.081735333</v>
      </c>
      <c r="J162" s="40">
        <f>'Kalkylerad finansiering av soci'!J121</f>
        <v>0</v>
      </c>
      <c r="K162" s="40">
        <f>'Kalkylerad finansiering av soci'!K121</f>
        <v>9662892.7603642605</v>
      </c>
      <c r="L162" s="40">
        <f>'Kalkylerad finansiering av soci'!L121</f>
        <v>0</v>
      </c>
      <c r="M162" s="63">
        <f>'Kalkylerade finansieringen av r'!E59</f>
        <v>7446872.3134131711</v>
      </c>
      <c r="N162" s="195">
        <f t="shared" si="49"/>
        <v>1010628084.1008916</v>
      </c>
      <c r="O162" s="26">
        <f t="shared" si="50"/>
        <v>3698.1008116161329</v>
      </c>
      <c r="S162" s="10"/>
      <c r="V162" s="10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80"/>
      <c r="AI162" s="180"/>
      <c r="AJ162" s="181"/>
      <c r="AK162" s="25"/>
      <c r="AL162" s="175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25"/>
      <c r="AX162" s="175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25"/>
      <c r="BJ162" s="25"/>
      <c r="BK162" s="25"/>
      <c r="BL162" s="25"/>
      <c r="BM162" s="25"/>
    </row>
    <row r="163" spans="1:65" x14ac:dyDescent="0.35">
      <c r="A163" s="3">
        <v>14</v>
      </c>
      <c r="B163" s="16" t="s">
        <v>69</v>
      </c>
      <c r="C163" s="63">
        <f>'Kalkylerad finansiering av soci'!C122+'Kalkylerade finansieringen av r'!C60</f>
        <v>102775409.98639172</v>
      </c>
      <c r="D163" s="40">
        <f>'Kalkylerad finansiering av soci'!D122</f>
        <v>362833096.20664865</v>
      </c>
      <c r="E163" s="40">
        <f>'Kalkylerad finansiering av soci'!E122</f>
        <v>141850685.95228463</v>
      </c>
      <c r="F163" s="40">
        <f>'Kalkylerad finansiering av soci'!F122</f>
        <v>128165714.48243229</v>
      </c>
      <c r="G163" s="40">
        <f>'Kalkylerad finansiering av soci'!G122</f>
        <v>4135244.6261200421</v>
      </c>
      <c r="H163" s="40">
        <f>'Kalkylerad finansiering av soci'!H122</f>
        <v>0</v>
      </c>
      <c r="I163" s="63">
        <f>'Kalkylerad finansiering av soci'!I122+'Kalkylerade finansieringen av r'!D60</f>
        <v>14129606.768375449</v>
      </c>
      <c r="J163" s="40">
        <f>'Kalkylerad finansiering av soci'!J122</f>
        <v>0</v>
      </c>
      <c r="K163" s="40">
        <f>'Kalkylerad finansiering av soci'!K122</f>
        <v>6870733.5239401711</v>
      </c>
      <c r="L163" s="40">
        <f>'Kalkylerad finansiering av soci'!L122</f>
        <v>0</v>
      </c>
      <c r="M163" s="63">
        <f>'Kalkylerade finansieringen av r'!E60</f>
        <v>6006869.3798802374</v>
      </c>
      <c r="N163" s="195">
        <f t="shared" si="49"/>
        <v>766767360.92607307</v>
      </c>
      <c r="O163" s="26">
        <f t="shared" si="50"/>
        <v>3945.9816017521616</v>
      </c>
      <c r="S163" s="10"/>
      <c r="V163" s="10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80"/>
      <c r="AI163" s="180"/>
      <c r="AJ163" s="181"/>
      <c r="AK163" s="25"/>
      <c r="AL163" s="175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25"/>
      <c r="AX163" s="175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25"/>
      <c r="BJ163" s="25"/>
      <c r="BK163" s="25"/>
      <c r="BL163" s="25"/>
      <c r="BM163" s="25"/>
    </row>
    <row r="164" spans="1:65" x14ac:dyDescent="0.35">
      <c r="A164" s="3">
        <v>15</v>
      </c>
      <c r="B164" s="16" t="s">
        <v>71</v>
      </c>
      <c r="C164" s="63">
        <f>'Kalkylerad finansiering av soci'!C123+'Kalkylerade finansieringen av r'!C61</f>
        <v>93189998.825275928</v>
      </c>
      <c r="D164" s="40">
        <f>'Kalkylerad finansiering av soci'!D123</f>
        <v>280916588.50746644</v>
      </c>
      <c r="E164" s="40">
        <f>'Kalkylerad finansiering av soci'!E123</f>
        <v>99973737.839475378</v>
      </c>
      <c r="F164" s="40">
        <f>'Kalkylerad finansiering av soci'!F123</f>
        <v>89255865.772883043</v>
      </c>
      <c r="G164" s="40">
        <f>'Kalkylerad finansiering av soci'!G123</f>
        <v>12174391.521654109</v>
      </c>
      <c r="H164" s="40">
        <f>'Kalkylerad finansiering av soci'!H123</f>
        <v>34296322.481767245</v>
      </c>
      <c r="I164" s="63">
        <f>'Kalkylerad finansiering av soci'!I123+'Kalkylerade finansieringen av r'!D61</f>
        <v>8177262.7328568343</v>
      </c>
      <c r="J164" s="40">
        <f>'Kalkylerad finansiering av soci'!J123</f>
        <v>3406860.3422913617</v>
      </c>
      <c r="K164" s="40">
        <f>'Kalkylerad finansiering av soci'!K123</f>
        <v>6229930.380326842</v>
      </c>
      <c r="L164" s="40">
        <f>'Kalkylerad finansiering av soci'!L123</f>
        <v>0</v>
      </c>
      <c r="M164" s="63">
        <f>'Kalkylerade finansieringen av r'!E61</f>
        <v>3538292.9223952093</v>
      </c>
      <c r="N164" s="195">
        <f t="shared" si="49"/>
        <v>631159251.32639253</v>
      </c>
      <c r="O164" s="26">
        <f t="shared" si="50"/>
        <v>3582.2038975804517</v>
      </c>
      <c r="S164" s="10"/>
      <c r="V164" s="10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80"/>
      <c r="AI164" s="180"/>
      <c r="AJ164" s="181"/>
      <c r="AK164" s="25"/>
      <c r="AL164" s="175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25"/>
      <c r="AX164" s="175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25"/>
      <c r="BJ164" s="25"/>
      <c r="BK164" s="25"/>
      <c r="BL164" s="25"/>
      <c r="BM164" s="25"/>
    </row>
    <row r="165" spans="1:65" x14ac:dyDescent="0.35">
      <c r="A165" s="3">
        <v>16</v>
      </c>
      <c r="B165" s="16" t="s">
        <v>73</v>
      </c>
      <c r="C165" s="63">
        <f>'Kalkylerad finansiering av soci'!C124+'Kalkylerade finansieringen av r'!C62</f>
        <v>36196920.136471987</v>
      </c>
      <c r="D165" s="40">
        <f>'Kalkylerad finansiering av soci'!D124</f>
        <v>122175570.78850755</v>
      </c>
      <c r="E165" s="40">
        <f>'Kalkylerad finansiering av soci'!E124</f>
        <v>42866537.42500554</v>
      </c>
      <c r="F165" s="40">
        <f>'Kalkylerad finansiering av soci'!F124</f>
        <v>44724409.603142865</v>
      </c>
      <c r="G165" s="40">
        <f>'Kalkylerad finansiering av soci'!G124</f>
        <v>1978376.0159686913</v>
      </c>
      <c r="H165" s="40">
        <f>'Kalkylerad finansiering av soci'!H124</f>
        <v>2373041.7421363061</v>
      </c>
      <c r="I165" s="63">
        <f>'Kalkylerad finansiering av soci'!I124+'Kalkylerade finansieringen av r'!D62</f>
        <v>5383291.013123286</v>
      </c>
      <c r="J165" s="40">
        <f>'Kalkylerad finansiering av soci'!J124</f>
        <v>0</v>
      </c>
      <c r="K165" s="40">
        <f>'Kalkylerad finansiering av soci'!K124</f>
        <v>2419833.6224391893</v>
      </c>
      <c r="L165" s="40">
        <f>'Kalkylerad finansiering av soci'!L124</f>
        <v>0</v>
      </c>
      <c r="M165" s="63">
        <f>'Kalkylerade finansieringen av r'!E62</f>
        <v>2962291.7489820351</v>
      </c>
      <c r="N165" s="195">
        <f t="shared" si="49"/>
        <v>261080272.09577739</v>
      </c>
      <c r="O165" s="26">
        <f t="shared" si="50"/>
        <v>3814.8994271487263</v>
      </c>
      <c r="S165" s="10"/>
      <c r="V165" s="10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80"/>
      <c r="AI165" s="180"/>
      <c r="AJ165" s="181"/>
      <c r="AK165" s="25"/>
      <c r="AL165" s="175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25"/>
      <c r="AX165" s="175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25"/>
      <c r="BJ165" s="25"/>
      <c r="BK165" s="25"/>
      <c r="BL165" s="25"/>
      <c r="BM165" s="25"/>
    </row>
    <row r="166" spans="1:65" x14ac:dyDescent="0.35">
      <c r="A166" s="3">
        <v>17</v>
      </c>
      <c r="B166" s="16" t="s">
        <v>75</v>
      </c>
      <c r="C166" s="63">
        <f>'Kalkylerad finansiering av soci'!C125+'Kalkylerade finansieringen av r'!C63</f>
        <v>217995511.20546535</v>
      </c>
      <c r="D166" s="40">
        <f>'Kalkylerad finansiering av soci'!D125</f>
        <v>684762191.78514147</v>
      </c>
      <c r="E166" s="40">
        <f>'Kalkylerad finansiering av soci'!E125</f>
        <v>217806872.15041575</v>
      </c>
      <c r="F166" s="40">
        <f>'Kalkylerad finansiering av soci'!F125</f>
        <v>282811308.96668637</v>
      </c>
      <c r="G166" s="40">
        <f>'Kalkylerad finansiering av soci'!G125</f>
        <v>11632930.747122355</v>
      </c>
      <c r="H166" s="40">
        <f>'Kalkylerad finansiering av soci'!H125</f>
        <v>0</v>
      </c>
      <c r="I166" s="63">
        <f>'Kalkylerad finansiering av soci'!I125+'Kalkylerade finansieringen av r'!D63</f>
        <v>38070093.01727251</v>
      </c>
      <c r="J166" s="40">
        <f>'Kalkylerad finansiering av soci'!J125</f>
        <v>603818.53940537886</v>
      </c>
      <c r="K166" s="40">
        <f>'Kalkylerad finansiering av soci'!K125</f>
        <v>14573418.55514062</v>
      </c>
      <c r="L166" s="40">
        <f>'Kalkylerad finansiering av soci'!L125</f>
        <v>0</v>
      </c>
      <c r="M166" s="63">
        <f>'Kalkylerade finansieringen av r'!E63</f>
        <v>7611444.0772455083</v>
      </c>
      <c r="N166" s="195">
        <f t="shared" si="49"/>
        <v>1475867589.0438952</v>
      </c>
      <c r="O166" s="26">
        <f t="shared" si="50"/>
        <v>3580.8035914215448</v>
      </c>
      <c r="S166" s="10"/>
      <c r="V166" s="10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80"/>
      <c r="AI166" s="180"/>
      <c r="AJ166" s="181"/>
      <c r="AK166" s="25"/>
      <c r="AL166" s="175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25"/>
      <c r="AX166" s="175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25"/>
      <c r="BJ166" s="25"/>
      <c r="BK166" s="25"/>
      <c r="BL166" s="25"/>
      <c r="BM166" s="25"/>
    </row>
    <row r="167" spans="1:65" x14ac:dyDescent="0.35">
      <c r="A167" s="3">
        <v>18</v>
      </c>
      <c r="B167" s="16" t="s">
        <v>77</v>
      </c>
      <c r="C167" s="63">
        <f>'Kalkylerad finansiering av soci'!C126+'Kalkylerade finansieringen av r'!C64</f>
        <v>38642593.656805232</v>
      </c>
      <c r="D167" s="40">
        <f>'Kalkylerad finansiering av soci'!D126</f>
        <v>139114892.76861814</v>
      </c>
      <c r="E167" s="40">
        <f>'Kalkylerad finansiering av soci'!E126</f>
        <v>59464692.197813325</v>
      </c>
      <c r="F167" s="40">
        <f>'Kalkylerad finansiering av soci'!F126</f>
        <v>57725896.323454544</v>
      </c>
      <c r="G167" s="40">
        <f>'Kalkylerad finansiering av soci'!G126</f>
        <v>1996324.9919200202</v>
      </c>
      <c r="H167" s="40">
        <f>'Kalkylerad finansiering av soci'!H126</f>
        <v>0</v>
      </c>
      <c r="I167" s="63">
        <f>'Kalkylerad finansiering av soci'!I126+'Kalkylerade finansieringen av r'!D64</f>
        <v>20921311.06482261</v>
      </c>
      <c r="J167" s="40">
        <f>'Kalkylerad finansiering av soci'!J126</f>
        <v>0</v>
      </c>
      <c r="K167" s="40">
        <f>'Kalkylerad finansiering av soci'!K126</f>
        <v>2583331.5938604791</v>
      </c>
      <c r="L167" s="40">
        <f>'Kalkylerad finansiering av soci'!L126</f>
        <v>0</v>
      </c>
      <c r="M167" s="63">
        <f>'Kalkylerade finansieringen av r'!E64</f>
        <v>2262861.75269461</v>
      </c>
      <c r="N167" s="195">
        <f t="shared" si="49"/>
        <v>322711904.349989</v>
      </c>
      <c r="O167" s="26">
        <f t="shared" si="50"/>
        <v>4417.0200839023419</v>
      </c>
      <c r="S167" s="10"/>
      <c r="V167" s="10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80"/>
      <c r="AI167" s="180"/>
      <c r="AJ167" s="181"/>
      <c r="AK167" s="25"/>
      <c r="AL167" s="175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25"/>
      <c r="AX167" s="175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25"/>
      <c r="BJ167" s="25"/>
      <c r="BK167" s="25"/>
      <c r="BL167" s="25"/>
      <c r="BM167" s="25"/>
    </row>
    <row r="168" spans="1:65" x14ac:dyDescent="0.35">
      <c r="A168" s="3">
        <v>19</v>
      </c>
      <c r="B168" s="16" t="s">
        <v>79</v>
      </c>
      <c r="C168" s="63">
        <f>'Kalkylerad finansiering av soci'!C127+'Kalkylerade finansieringen av r'!C65</f>
        <v>94421827.032208487</v>
      </c>
      <c r="D168" s="40">
        <f>'Kalkylerad finansiering av soci'!D127</f>
        <v>324752685.4955256</v>
      </c>
      <c r="E168" s="40">
        <f>'Kalkylerad finansiering av soci'!E127</f>
        <v>124276231.06720351</v>
      </c>
      <c r="F168" s="40">
        <f>'Kalkylerad finansiering av soci'!F127</f>
        <v>142812315.40226123</v>
      </c>
      <c r="G168" s="40">
        <f>'Kalkylerad finansiering av soci'!G127</f>
        <v>5023718.9357108204</v>
      </c>
      <c r="H168" s="40">
        <f>'Kalkylerad finansiering av soci'!H127</f>
        <v>0</v>
      </c>
      <c r="I168" s="63">
        <f>'Kalkylerad finansiering av soci'!I127+'Kalkylerade finansieringen av r'!D65</f>
        <v>95282855.295463622</v>
      </c>
      <c r="J168" s="40">
        <f>'Kalkylerad finansiering av soci'!J127</f>
        <v>0</v>
      </c>
      <c r="K168" s="40">
        <f>'Kalkylerad finansiering av soci'!K127</f>
        <v>6312280.4615206532</v>
      </c>
      <c r="L168" s="40">
        <f>'Kalkylerad finansiering av soci'!L127</f>
        <v>2500000</v>
      </c>
      <c r="M168" s="63">
        <f>'Kalkylerade finansieringen av r'!E65</f>
        <v>4690295.2692215554</v>
      </c>
      <c r="N168" s="195">
        <f t="shared" si="49"/>
        <v>800072208.95911551</v>
      </c>
      <c r="O168" s="26">
        <f t="shared" si="50"/>
        <v>4481.6448894764535</v>
      </c>
      <c r="S168" s="10"/>
      <c r="V168" s="10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80"/>
      <c r="AI168" s="180"/>
      <c r="AJ168" s="181"/>
      <c r="AK168" s="25"/>
      <c r="AL168" s="175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25"/>
      <c r="AX168" s="175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25"/>
      <c r="BJ168" s="25"/>
      <c r="BK168" s="25"/>
      <c r="BL168" s="25"/>
      <c r="BM168" s="25"/>
    </row>
    <row r="169" spans="1:65" x14ac:dyDescent="0.35">
      <c r="B169" s="16" t="s">
        <v>35</v>
      </c>
      <c r="C169" s="81">
        <f t="shared" ref="C169:N169" si="51">SUM(C147:C168)</f>
        <v>2902719337.6181889</v>
      </c>
      <c r="D169" s="81">
        <f t="shared" si="51"/>
        <v>9350405304.9012375</v>
      </c>
      <c r="E169" s="81">
        <f t="shared" si="51"/>
        <v>3126530242.6799202</v>
      </c>
      <c r="F169" s="81">
        <f t="shared" si="51"/>
        <v>3328629337.4654479</v>
      </c>
      <c r="G169" s="81">
        <f t="shared" si="51"/>
        <v>388104724.00360006</v>
      </c>
      <c r="H169" s="81">
        <f t="shared" si="51"/>
        <v>97026181.000899985</v>
      </c>
      <c r="I169" s="81">
        <f t="shared" si="51"/>
        <v>313981446.80269992</v>
      </c>
      <c r="J169" s="81">
        <f t="shared" si="51"/>
        <v>21927916.9062034</v>
      </c>
      <c r="K169" s="81">
        <f t="shared" si="51"/>
        <v>194052362.0018</v>
      </c>
      <c r="L169" s="81">
        <f t="shared" si="51"/>
        <v>2500000</v>
      </c>
      <c r="M169" s="81">
        <f t="shared" si="51"/>
        <v>137417422.79999998</v>
      </c>
      <c r="N169" s="195">
        <f t="shared" si="51"/>
        <v>19863294276.179996</v>
      </c>
      <c r="O169" s="26">
        <f t="shared" si="50"/>
        <v>3619.3191991042481</v>
      </c>
      <c r="S169" s="10"/>
      <c r="V169" s="10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80"/>
      <c r="AI169" s="180"/>
      <c r="AJ169" s="181"/>
      <c r="AK169" s="25"/>
      <c r="AL169" s="175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25"/>
      <c r="AX169" s="175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25"/>
      <c r="BJ169" s="25"/>
      <c r="BK169" s="25"/>
      <c r="BL169" s="25"/>
      <c r="BM169" s="25"/>
    </row>
    <row r="170" spans="1:65" ht="31" x14ac:dyDescent="0.35">
      <c r="B170" s="186" t="s">
        <v>449</v>
      </c>
      <c r="C170" s="109">
        <f t="shared" ref="C170:N170" si="52">C169/$N$169</f>
        <v>0.14613484033708957</v>
      </c>
      <c r="D170" s="109">
        <f t="shared" si="52"/>
        <v>0.47073789346786327</v>
      </c>
      <c r="E170" s="109">
        <f t="shared" si="52"/>
        <v>0.15740240260293811</v>
      </c>
      <c r="F170" s="109">
        <f t="shared" si="52"/>
        <v>0.16757690296403302</v>
      </c>
      <c r="G170" s="109">
        <f t="shared" si="52"/>
        <v>1.9538789417675499E-2</v>
      </c>
      <c r="H170" s="109">
        <f t="shared" si="52"/>
        <v>4.8846973544188739E-3</v>
      </c>
      <c r="I170" s="109">
        <f t="shared" si="52"/>
        <v>1.5807118519067884E-2</v>
      </c>
      <c r="J170" s="109">
        <f t="shared" si="52"/>
        <v>1.1039416020986656E-3</v>
      </c>
      <c r="K170" s="109">
        <f t="shared" si="52"/>
        <v>9.7693947088377496E-3</v>
      </c>
      <c r="L170" s="109">
        <f t="shared" si="52"/>
        <v>1.2586029110981821E-4</v>
      </c>
      <c r="M170" s="109">
        <f t="shared" si="52"/>
        <v>6.9181587348675867E-3</v>
      </c>
      <c r="N170" s="199">
        <f t="shared" si="52"/>
        <v>1</v>
      </c>
      <c r="O170" s="81"/>
      <c r="S170" s="10"/>
      <c r="V170" s="10"/>
      <c r="W170" s="487"/>
      <c r="X170" s="487"/>
      <c r="Y170" s="487"/>
      <c r="Z170" s="487"/>
      <c r="AA170" s="487"/>
      <c r="AB170" s="487"/>
      <c r="AC170" s="487"/>
      <c r="AD170" s="487"/>
      <c r="AE170" s="487"/>
      <c r="AF170" s="487"/>
      <c r="AG170" s="487"/>
      <c r="AH170" s="488"/>
      <c r="AI170" s="179"/>
      <c r="AJ170" s="18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</row>
    <row r="171" spans="1:65" x14ac:dyDescent="0.35"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S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200"/>
      <c r="AJ171" s="181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</row>
    <row r="172" spans="1:65" ht="12.75" customHeight="1" x14ac:dyDescent="0.35">
      <c r="F172" s="198"/>
      <c r="G172" s="187"/>
      <c r="H172" s="187"/>
      <c r="I172" s="75"/>
      <c r="J172" s="198"/>
      <c r="S172" s="8"/>
      <c r="V172" s="8"/>
      <c r="W172" s="8"/>
      <c r="X172" s="497"/>
      <c r="Y172" s="497"/>
      <c r="Z172" s="487"/>
      <c r="AA172" s="8"/>
      <c r="AB172" s="8"/>
      <c r="AC172" s="8"/>
      <c r="AD172" s="8"/>
      <c r="AE172" s="8"/>
      <c r="AF172" s="8"/>
      <c r="AG172" s="8"/>
      <c r="AH172" s="8"/>
      <c r="AI172" s="200"/>
      <c r="AJ172" s="181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</row>
    <row r="173" spans="1:65" x14ac:dyDescent="0.35">
      <c r="A173" s="17" t="s">
        <v>451</v>
      </c>
      <c r="B173" s="17"/>
      <c r="C173" s="17"/>
      <c r="D173" s="17"/>
      <c r="E173" s="17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</row>
    <row r="174" spans="1:65" x14ac:dyDescent="0.35">
      <c r="A174" s="262" t="s">
        <v>22</v>
      </c>
      <c r="B174" s="262" t="s">
        <v>34</v>
      </c>
      <c r="C174" s="71" t="s">
        <v>372</v>
      </c>
      <c r="D174" s="269" t="s">
        <v>374</v>
      </c>
      <c r="E174" s="269" t="s">
        <v>375</v>
      </c>
      <c r="F174" s="269" t="s">
        <v>376</v>
      </c>
      <c r="G174" s="71" t="s">
        <v>377</v>
      </c>
      <c r="H174" s="71" t="s">
        <v>378</v>
      </c>
      <c r="I174" s="71" t="s">
        <v>379</v>
      </c>
      <c r="J174" s="71" t="s">
        <v>380</v>
      </c>
      <c r="K174" s="71" t="s">
        <v>381</v>
      </c>
      <c r="L174" s="71" t="s">
        <v>382</v>
      </c>
      <c r="M174" s="71" t="s">
        <v>815</v>
      </c>
      <c r="N174" s="270" t="s">
        <v>446</v>
      </c>
      <c r="O174" s="270" t="s">
        <v>780</v>
      </c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</row>
    <row r="175" spans="1:65" x14ac:dyDescent="0.35">
      <c r="A175" s="99">
        <v>31</v>
      </c>
      <c r="B175" s="100" t="s">
        <v>37</v>
      </c>
      <c r="C175" s="63">
        <f t="shared" ref="C175:N175" si="53">C147/$C10</f>
        <v>528.9086332900622</v>
      </c>
      <c r="D175" s="63">
        <f t="shared" si="53"/>
        <v>1520.4479126910535</v>
      </c>
      <c r="E175" s="63">
        <f t="shared" si="53"/>
        <v>411.79945648131786</v>
      </c>
      <c r="F175" s="63">
        <f t="shared" si="53"/>
        <v>492.5735413724131</v>
      </c>
      <c r="G175" s="63">
        <f t="shared" si="53"/>
        <v>156.68175795910864</v>
      </c>
      <c r="H175" s="63">
        <f t="shared" si="53"/>
        <v>21.626072027547281</v>
      </c>
      <c r="I175" s="63">
        <f t="shared" si="53"/>
        <v>0.38506740897614666</v>
      </c>
      <c r="J175" s="63">
        <f t="shared" si="53"/>
        <v>0</v>
      </c>
      <c r="K175" s="63">
        <f t="shared" si="53"/>
        <v>35.358557833323921</v>
      </c>
      <c r="L175" s="63">
        <f t="shared" si="53"/>
        <v>0</v>
      </c>
      <c r="M175" s="63">
        <f t="shared" si="53"/>
        <v>11.618318249942657</v>
      </c>
      <c r="N175" s="26">
        <f t="shared" si="53"/>
        <v>3179.3993173137455</v>
      </c>
      <c r="O175" s="26">
        <f>SUM(B175:M175)</f>
        <v>3179.399317313746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</row>
    <row r="176" spans="1:65" x14ac:dyDescent="0.35">
      <c r="A176" s="99">
        <v>32</v>
      </c>
      <c r="B176" s="100" t="s">
        <v>39</v>
      </c>
      <c r="C176" s="63">
        <f t="shared" ref="C176:N176" si="54">C148/$C11</f>
        <v>528.9086332900622</v>
      </c>
      <c r="D176" s="63">
        <f t="shared" si="54"/>
        <v>1522.3831941590877</v>
      </c>
      <c r="E176" s="63">
        <f t="shared" si="54"/>
        <v>282.6092863501442</v>
      </c>
      <c r="F176" s="63">
        <f t="shared" si="54"/>
        <v>496.87042392350236</v>
      </c>
      <c r="G176" s="63">
        <f t="shared" si="54"/>
        <v>177.32286140051474</v>
      </c>
      <c r="H176" s="63">
        <f t="shared" si="54"/>
        <v>8.7394906932254326</v>
      </c>
      <c r="I176" s="63">
        <f t="shared" si="54"/>
        <v>1.041302682670036</v>
      </c>
      <c r="J176" s="63">
        <f t="shared" si="54"/>
        <v>0</v>
      </c>
      <c r="K176" s="63">
        <f t="shared" si="54"/>
        <v>35.358557833323921</v>
      </c>
      <c r="L176" s="63">
        <f t="shared" si="54"/>
        <v>0</v>
      </c>
      <c r="M176" s="63">
        <f t="shared" si="54"/>
        <v>23.495136845437781</v>
      </c>
      <c r="N176" s="26">
        <f t="shared" si="54"/>
        <v>3076.7288871779688</v>
      </c>
      <c r="O176" s="26">
        <f t="shared" ref="O176:O196" si="55">SUM(B176:M176)</f>
        <v>3076.7288871779679</v>
      </c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</row>
    <row r="177" spans="1:65" x14ac:dyDescent="0.35">
      <c r="A177" s="99">
        <v>33</v>
      </c>
      <c r="B177" s="100" t="s">
        <v>41</v>
      </c>
      <c r="C177" s="63">
        <f t="shared" ref="C177:N177" si="56">C149/$C12</f>
        <v>528.9086332900622</v>
      </c>
      <c r="D177" s="63">
        <f t="shared" si="56"/>
        <v>1473.0927322133477</v>
      </c>
      <c r="E177" s="63">
        <f t="shared" si="56"/>
        <v>324.28716631002015</v>
      </c>
      <c r="F177" s="63">
        <f t="shared" si="56"/>
        <v>444.89424683761388</v>
      </c>
      <c r="G177" s="63">
        <f t="shared" si="56"/>
        <v>124.91895674810345</v>
      </c>
      <c r="H177" s="63">
        <f t="shared" si="56"/>
        <v>47.800044261954454</v>
      </c>
      <c r="I177" s="63">
        <f t="shared" si="56"/>
        <v>9.8235470607095152</v>
      </c>
      <c r="J177" s="63">
        <f t="shared" si="56"/>
        <v>0</v>
      </c>
      <c r="K177" s="63">
        <f t="shared" si="56"/>
        <v>35.358557833323921</v>
      </c>
      <c r="L177" s="63">
        <f t="shared" si="56"/>
        <v>0</v>
      </c>
      <c r="M177" s="63">
        <f t="shared" si="56"/>
        <v>22.862013877143809</v>
      </c>
      <c r="N177" s="26">
        <f t="shared" si="56"/>
        <v>3011.9458984322796</v>
      </c>
      <c r="O177" s="26">
        <f t="shared" si="55"/>
        <v>3011.9458984322796</v>
      </c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</row>
    <row r="178" spans="1:65" x14ac:dyDescent="0.35">
      <c r="A178" s="99">
        <v>34</v>
      </c>
      <c r="B178" s="103" t="s">
        <v>43</v>
      </c>
      <c r="C178" s="63">
        <f t="shared" ref="C178:N178" si="57">C150/$C13</f>
        <v>528.9086332900622</v>
      </c>
      <c r="D178" s="63">
        <f t="shared" si="57"/>
        <v>1657.4798819409991</v>
      </c>
      <c r="E178" s="63">
        <f t="shared" si="57"/>
        <v>500.73820262553039</v>
      </c>
      <c r="F178" s="63">
        <f t="shared" si="57"/>
        <v>508.68387811559052</v>
      </c>
      <c r="G178" s="63">
        <f t="shared" si="57"/>
        <v>55.782533583731329</v>
      </c>
      <c r="H178" s="63">
        <f t="shared" si="57"/>
        <v>112.46598129407904</v>
      </c>
      <c r="I178" s="63">
        <f t="shared" si="57"/>
        <v>30.179950907518165</v>
      </c>
      <c r="J178" s="63">
        <f t="shared" si="57"/>
        <v>0</v>
      </c>
      <c r="K178" s="63">
        <f t="shared" si="57"/>
        <v>35.358557833323921</v>
      </c>
      <c r="L178" s="63">
        <f t="shared" si="57"/>
        <v>0</v>
      </c>
      <c r="M178" s="63">
        <f t="shared" si="57"/>
        <v>24.534412629354037</v>
      </c>
      <c r="N178" s="26">
        <f t="shared" si="57"/>
        <v>3454.1320322201896</v>
      </c>
      <c r="O178" s="26">
        <f t="shared" si="55"/>
        <v>3454.1320322201891</v>
      </c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</row>
    <row r="179" spans="1:65" x14ac:dyDescent="0.35">
      <c r="A179" s="102">
        <v>35</v>
      </c>
      <c r="B179" s="103" t="s">
        <v>45</v>
      </c>
      <c r="C179" s="63">
        <f t="shared" ref="C179:N179" si="58">C151/$C14</f>
        <v>528.9086332900622</v>
      </c>
      <c r="D179" s="63">
        <f t="shared" si="58"/>
        <v>1589.6446624357584</v>
      </c>
      <c r="E179" s="63">
        <f t="shared" si="58"/>
        <v>394.77033672474403</v>
      </c>
      <c r="F179" s="63">
        <f t="shared" si="58"/>
        <v>506.94896264299729</v>
      </c>
      <c r="G179" s="63">
        <f t="shared" si="58"/>
        <v>50.375332469142151</v>
      </c>
      <c r="H179" s="63">
        <f t="shared" si="58"/>
        <v>0</v>
      </c>
      <c r="I179" s="63">
        <f t="shared" si="58"/>
        <v>8.681589694138184</v>
      </c>
      <c r="J179" s="63">
        <f t="shared" si="58"/>
        <v>0</v>
      </c>
      <c r="K179" s="63">
        <f t="shared" si="58"/>
        <v>35.358557833323921</v>
      </c>
      <c r="L179" s="63">
        <f t="shared" si="58"/>
        <v>0</v>
      </c>
      <c r="M179" s="63">
        <f t="shared" si="58"/>
        <v>28.40368112356736</v>
      </c>
      <c r="N179" s="26">
        <f t="shared" si="58"/>
        <v>3143.0917562137324</v>
      </c>
      <c r="O179" s="26">
        <f t="shared" si="55"/>
        <v>3143.0917562137333</v>
      </c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</row>
    <row r="180" spans="1:65" x14ac:dyDescent="0.35">
      <c r="A180" s="3">
        <v>2</v>
      </c>
      <c r="B180" s="16" t="s">
        <v>47</v>
      </c>
      <c r="C180" s="63">
        <f t="shared" ref="C180:N180" si="59">C152/$C15</f>
        <v>528.9086332900622</v>
      </c>
      <c r="D180" s="63">
        <f t="shared" si="59"/>
        <v>1744.5684000239751</v>
      </c>
      <c r="E180" s="63">
        <f t="shared" si="59"/>
        <v>629.31532444546747</v>
      </c>
      <c r="F180" s="63">
        <f t="shared" si="59"/>
        <v>609.7333612348715</v>
      </c>
      <c r="G180" s="63">
        <f t="shared" si="59"/>
        <v>71.218951331731787</v>
      </c>
      <c r="H180" s="63">
        <f t="shared" si="59"/>
        <v>21.752888800289377</v>
      </c>
      <c r="I180" s="63">
        <f t="shared" si="59"/>
        <v>24.046331244886982</v>
      </c>
      <c r="J180" s="63">
        <f t="shared" si="59"/>
        <v>29.553640696129808</v>
      </c>
      <c r="K180" s="63">
        <f t="shared" si="59"/>
        <v>35.358557833323921</v>
      </c>
      <c r="L180" s="63">
        <f t="shared" si="59"/>
        <v>0</v>
      </c>
      <c r="M180" s="63">
        <f t="shared" si="59"/>
        <v>28.541517228152809</v>
      </c>
      <c r="N180" s="26">
        <f t="shared" si="59"/>
        <v>3722.9976061288908</v>
      </c>
      <c r="O180" s="26">
        <f t="shared" si="55"/>
        <v>3722.9976061288908</v>
      </c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</row>
    <row r="181" spans="1:65" x14ac:dyDescent="0.35">
      <c r="A181" s="3">
        <v>4</v>
      </c>
      <c r="B181" s="16" t="s">
        <v>49</v>
      </c>
      <c r="C181" s="63">
        <f t="shared" ref="C181:N181" si="60">C153/$C16</f>
        <v>528.9086332900622</v>
      </c>
      <c r="D181" s="63">
        <f t="shared" si="60"/>
        <v>1789.9606935394293</v>
      </c>
      <c r="E181" s="63">
        <f t="shared" si="60"/>
        <v>715.36496285792441</v>
      </c>
      <c r="F181" s="63">
        <f t="shared" si="60"/>
        <v>674.97591445079991</v>
      </c>
      <c r="G181" s="63">
        <f t="shared" si="60"/>
        <v>34.810294402094165</v>
      </c>
      <c r="H181" s="63">
        <f t="shared" si="60"/>
        <v>0</v>
      </c>
      <c r="I181" s="63">
        <f t="shared" si="60"/>
        <v>37.652961132130272</v>
      </c>
      <c r="J181" s="63">
        <f t="shared" si="60"/>
        <v>0</v>
      </c>
      <c r="K181" s="63">
        <f t="shared" si="60"/>
        <v>35.358557833323921</v>
      </c>
      <c r="L181" s="63">
        <f t="shared" si="60"/>
        <v>0</v>
      </c>
      <c r="M181" s="63">
        <f t="shared" si="60"/>
        <v>34.627036081525461</v>
      </c>
      <c r="N181" s="26">
        <f t="shared" si="60"/>
        <v>3851.6590535872892</v>
      </c>
      <c r="O181" s="26">
        <f t="shared" si="55"/>
        <v>3851.6590535872901</v>
      </c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</row>
    <row r="182" spans="1:65" x14ac:dyDescent="0.35">
      <c r="A182" s="3">
        <v>5</v>
      </c>
      <c r="B182" s="16" t="s">
        <v>51</v>
      </c>
      <c r="C182" s="63">
        <f t="shared" ref="C182:N182" si="61">C154/$C17</f>
        <v>528.9086332900622</v>
      </c>
      <c r="D182" s="63">
        <f t="shared" si="61"/>
        <v>1810.4432886312438</v>
      </c>
      <c r="E182" s="63">
        <f t="shared" si="61"/>
        <v>631.68999600717075</v>
      </c>
      <c r="F182" s="63">
        <f t="shared" si="61"/>
        <v>615.67658125498781</v>
      </c>
      <c r="G182" s="63">
        <f t="shared" si="61"/>
        <v>40.738746059477457</v>
      </c>
      <c r="H182" s="63">
        <f t="shared" si="61"/>
        <v>0</v>
      </c>
      <c r="I182" s="63">
        <f t="shared" si="61"/>
        <v>31.217954734488615</v>
      </c>
      <c r="J182" s="63">
        <f t="shared" si="61"/>
        <v>0</v>
      </c>
      <c r="K182" s="63">
        <f t="shared" si="61"/>
        <v>35.358557833323921</v>
      </c>
      <c r="L182" s="63">
        <f t="shared" si="61"/>
        <v>0</v>
      </c>
      <c r="M182" s="63">
        <f t="shared" si="61"/>
        <v>29.771274473065489</v>
      </c>
      <c r="N182" s="26">
        <f t="shared" si="61"/>
        <v>3723.8050322838199</v>
      </c>
      <c r="O182" s="26">
        <f t="shared" si="55"/>
        <v>3723.8050322838199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</row>
    <row r="183" spans="1:65" x14ac:dyDescent="0.35">
      <c r="A183" s="3">
        <v>6</v>
      </c>
      <c r="B183" s="16" t="s">
        <v>53</v>
      </c>
      <c r="C183" s="63">
        <f t="shared" ref="C183:N183" si="62">C155/$C18</f>
        <v>528.9086332900622</v>
      </c>
      <c r="D183" s="63">
        <f t="shared" si="62"/>
        <v>1715.0117767404874</v>
      </c>
      <c r="E183" s="63">
        <f t="shared" si="62"/>
        <v>585.39815086337546</v>
      </c>
      <c r="F183" s="63">
        <f t="shared" si="62"/>
        <v>584.51744840452466</v>
      </c>
      <c r="G183" s="63">
        <f t="shared" si="62"/>
        <v>48.182006115485827</v>
      </c>
      <c r="H183" s="63">
        <f t="shared" si="62"/>
        <v>0</v>
      </c>
      <c r="I183" s="63">
        <f t="shared" si="62"/>
        <v>26.343747467695501</v>
      </c>
      <c r="J183" s="63">
        <f t="shared" si="62"/>
        <v>0</v>
      </c>
      <c r="K183" s="63">
        <f t="shared" si="62"/>
        <v>35.358557833323921</v>
      </c>
      <c r="L183" s="63">
        <f t="shared" si="62"/>
        <v>0</v>
      </c>
      <c r="M183" s="63">
        <f t="shared" si="62"/>
        <v>24.733497839813175</v>
      </c>
      <c r="N183" s="26">
        <f t="shared" si="62"/>
        <v>3548.4538185547685</v>
      </c>
      <c r="O183" s="26">
        <f t="shared" si="55"/>
        <v>3548.4538185547685</v>
      </c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</row>
    <row r="184" spans="1:65" x14ac:dyDescent="0.35">
      <c r="A184" s="3">
        <v>7</v>
      </c>
      <c r="B184" s="16" t="s">
        <v>55</v>
      </c>
      <c r="C184" s="63">
        <f t="shared" ref="C184:N184" si="63">C156/$C19</f>
        <v>528.9086332900622</v>
      </c>
      <c r="D184" s="63">
        <f t="shared" si="63"/>
        <v>1836.5816019518215</v>
      </c>
      <c r="E184" s="63">
        <f t="shared" si="63"/>
        <v>660.58278336185583</v>
      </c>
      <c r="F184" s="63">
        <f t="shared" si="63"/>
        <v>642.91007046108962</v>
      </c>
      <c r="G184" s="63">
        <f t="shared" si="63"/>
        <v>51.47041314786118</v>
      </c>
      <c r="H184" s="63">
        <f t="shared" si="63"/>
        <v>0</v>
      </c>
      <c r="I184" s="63">
        <f t="shared" si="63"/>
        <v>28.344528869230551</v>
      </c>
      <c r="J184" s="63">
        <f t="shared" si="63"/>
        <v>0</v>
      </c>
      <c r="K184" s="63">
        <f t="shared" si="63"/>
        <v>35.358557833323921</v>
      </c>
      <c r="L184" s="63">
        <f t="shared" si="63"/>
        <v>0</v>
      </c>
      <c r="M184" s="63">
        <f t="shared" si="63"/>
        <v>30.748989114935789</v>
      </c>
      <c r="N184" s="26">
        <f t="shared" si="63"/>
        <v>3814.9055780301805</v>
      </c>
      <c r="O184" s="26">
        <f t="shared" si="55"/>
        <v>3814.905578030181</v>
      </c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5" x14ac:dyDescent="0.35">
      <c r="A185" s="3">
        <v>8</v>
      </c>
      <c r="B185" s="16" t="s">
        <v>57</v>
      </c>
      <c r="C185" s="63">
        <f t="shared" ref="C185:N185" si="64">C157/$C20</f>
        <v>528.9086332900622</v>
      </c>
      <c r="D185" s="63">
        <f t="shared" si="64"/>
        <v>1864.6148109248202</v>
      </c>
      <c r="E185" s="63">
        <f t="shared" si="64"/>
        <v>823.09958212056847</v>
      </c>
      <c r="F185" s="63">
        <f t="shared" si="64"/>
        <v>686.59965397360565</v>
      </c>
      <c r="G185" s="63">
        <f t="shared" si="64"/>
        <v>60.521854657849914</v>
      </c>
      <c r="H185" s="63">
        <f t="shared" si="64"/>
        <v>2.9308184444998866</v>
      </c>
      <c r="I185" s="63">
        <f t="shared" si="64"/>
        <v>29.032515144057427</v>
      </c>
      <c r="J185" s="63">
        <f t="shared" si="64"/>
        <v>0</v>
      </c>
      <c r="K185" s="63">
        <f t="shared" si="64"/>
        <v>35.358557833323921</v>
      </c>
      <c r="L185" s="63">
        <f t="shared" si="64"/>
        <v>0</v>
      </c>
      <c r="M185" s="63">
        <f t="shared" si="64"/>
        <v>36.050661552608211</v>
      </c>
      <c r="N185" s="26">
        <f t="shared" si="64"/>
        <v>4067.1170879413958</v>
      </c>
      <c r="O185" s="26">
        <f t="shared" si="55"/>
        <v>4067.1170879413958</v>
      </c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</row>
    <row r="186" spans="1:65" x14ac:dyDescent="0.35">
      <c r="A186" s="3">
        <v>9</v>
      </c>
      <c r="B186" s="16" t="s">
        <v>59</v>
      </c>
      <c r="C186" s="63">
        <f t="shared" ref="C186:N186" si="65">C158/$C21</f>
        <v>528.9086332900622</v>
      </c>
      <c r="D186" s="63">
        <f t="shared" si="65"/>
        <v>1808.2126965368027</v>
      </c>
      <c r="E186" s="63">
        <f t="shared" si="65"/>
        <v>730.09864277316865</v>
      </c>
      <c r="F186" s="63">
        <f t="shared" si="65"/>
        <v>640.5682136544699</v>
      </c>
      <c r="G186" s="63">
        <f t="shared" si="65"/>
        <v>60.981079043894994</v>
      </c>
      <c r="H186" s="63">
        <f t="shared" si="65"/>
        <v>0</v>
      </c>
      <c r="I186" s="63">
        <f t="shared" si="65"/>
        <v>43.22264411731863</v>
      </c>
      <c r="J186" s="63">
        <f t="shared" si="65"/>
        <v>0</v>
      </c>
      <c r="K186" s="63">
        <f t="shared" si="65"/>
        <v>35.358557833323921</v>
      </c>
      <c r="L186" s="63">
        <f t="shared" si="65"/>
        <v>0</v>
      </c>
      <c r="M186" s="63">
        <f t="shared" si="65"/>
        <v>32.273735101793051</v>
      </c>
      <c r="N186" s="26">
        <f t="shared" si="65"/>
        <v>3879.6242023508339</v>
      </c>
      <c r="O186" s="26">
        <f t="shared" si="55"/>
        <v>3879.6242023508348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</row>
    <row r="187" spans="1:65" x14ac:dyDescent="0.35">
      <c r="A187" s="3">
        <v>10</v>
      </c>
      <c r="B187" s="16" t="s">
        <v>61</v>
      </c>
      <c r="C187" s="63">
        <f t="shared" ref="C187:N187" si="66">C159/$C22</f>
        <v>528.9086332900622</v>
      </c>
      <c r="D187" s="63">
        <f t="shared" si="66"/>
        <v>1982.8975374729175</v>
      </c>
      <c r="E187" s="63">
        <f t="shared" si="66"/>
        <v>851.68171272990355</v>
      </c>
      <c r="F187" s="63">
        <f t="shared" si="66"/>
        <v>768.98993796215177</v>
      </c>
      <c r="G187" s="63">
        <f t="shared" si="66"/>
        <v>33.055204330255719</v>
      </c>
      <c r="H187" s="63">
        <f t="shared" si="66"/>
        <v>0</v>
      </c>
      <c r="I187" s="63">
        <f t="shared" si="66"/>
        <v>97.554202323848472</v>
      </c>
      <c r="J187" s="63">
        <f t="shared" si="66"/>
        <v>27.649204631442345</v>
      </c>
      <c r="K187" s="63">
        <f t="shared" si="66"/>
        <v>35.358557833323921</v>
      </c>
      <c r="L187" s="63">
        <f t="shared" si="66"/>
        <v>0</v>
      </c>
      <c r="M187" s="63">
        <f t="shared" si="66"/>
        <v>31.654445539801003</v>
      </c>
      <c r="N187" s="26">
        <f t="shared" si="66"/>
        <v>4357.749436113706</v>
      </c>
      <c r="O187" s="26">
        <f t="shared" si="55"/>
        <v>4357.7494361137069</v>
      </c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</row>
    <row r="188" spans="1:65" x14ac:dyDescent="0.35">
      <c r="A188" s="3">
        <v>11</v>
      </c>
      <c r="B188" s="16" t="s">
        <v>63</v>
      </c>
      <c r="C188" s="63">
        <f t="shared" ref="C188:N188" si="67">C160/$C23</f>
        <v>528.9086332900622</v>
      </c>
      <c r="D188" s="63">
        <f t="shared" si="67"/>
        <v>1894.0470390800467</v>
      </c>
      <c r="E188" s="63">
        <f t="shared" si="67"/>
        <v>706.57594202021346</v>
      </c>
      <c r="F188" s="63">
        <f t="shared" si="67"/>
        <v>743.39210832875631</v>
      </c>
      <c r="G188" s="63">
        <f t="shared" si="67"/>
        <v>29.957090187948083</v>
      </c>
      <c r="H188" s="63">
        <f t="shared" si="67"/>
        <v>0</v>
      </c>
      <c r="I188" s="63">
        <f t="shared" si="67"/>
        <v>71.595965718138288</v>
      </c>
      <c r="J188" s="63">
        <f t="shared" si="67"/>
        <v>0</v>
      </c>
      <c r="K188" s="63">
        <f t="shared" si="67"/>
        <v>35.358557833323921</v>
      </c>
      <c r="L188" s="63">
        <f t="shared" si="67"/>
        <v>0</v>
      </c>
      <c r="M188" s="63">
        <f t="shared" si="67"/>
        <v>23.823454115673066</v>
      </c>
      <c r="N188" s="26">
        <f t="shared" si="67"/>
        <v>4033.6587905741621</v>
      </c>
      <c r="O188" s="26">
        <f t="shared" si="55"/>
        <v>4033.6587905741621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</row>
    <row r="189" spans="1:65" x14ac:dyDescent="0.35">
      <c r="A189" s="3">
        <v>12</v>
      </c>
      <c r="B189" s="16" t="s">
        <v>65</v>
      </c>
      <c r="C189" s="63">
        <f t="shared" ref="C189:N189" si="68">C161/$C24</f>
        <v>528.90863329006231</v>
      </c>
      <c r="D189" s="63">
        <f t="shared" si="68"/>
        <v>1925.522414615896</v>
      </c>
      <c r="E189" s="63">
        <f t="shared" si="68"/>
        <v>744.02632518763312</v>
      </c>
      <c r="F189" s="63">
        <f t="shared" si="68"/>
        <v>791.78239301683993</v>
      </c>
      <c r="G189" s="63">
        <f t="shared" si="68"/>
        <v>36.786390202781064</v>
      </c>
      <c r="H189" s="63">
        <f t="shared" si="68"/>
        <v>0</v>
      </c>
      <c r="I189" s="63">
        <f t="shared" si="68"/>
        <v>117.13754736543693</v>
      </c>
      <c r="J189" s="63">
        <f t="shared" si="68"/>
        <v>0</v>
      </c>
      <c r="K189" s="63">
        <f t="shared" si="68"/>
        <v>35.358557833323921</v>
      </c>
      <c r="L189" s="63">
        <f t="shared" si="68"/>
        <v>0</v>
      </c>
      <c r="M189" s="63">
        <f t="shared" si="68"/>
        <v>27.831353618765519</v>
      </c>
      <c r="N189" s="26">
        <f t="shared" si="68"/>
        <v>4207.353615130738</v>
      </c>
      <c r="O189" s="26">
        <f t="shared" si="55"/>
        <v>4207.3536151307389</v>
      </c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</row>
    <row r="190" spans="1:65" x14ac:dyDescent="0.35">
      <c r="A190" s="3">
        <v>13</v>
      </c>
      <c r="B190" s="16" t="s">
        <v>67</v>
      </c>
      <c r="C190" s="63">
        <f t="shared" ref="C190:N190" si="69">C162/$C25</f>
        <v>528.9086332900622</v>
      </c>
      <c r="D190" s="63">
        <f t="shared" si="69"/>
        <v>1748.43657730005</v>
      </c>
      <c r="E190" s="63">
        <f t="shared" si="69"/>
        <v>616.51284646278441</v>
      </c>
      <c r="F190" s="63">
        <f t="shared" si="69"/>
        <v>647.50581276941762</v>
      </c>
      <c r="G190" s="63">
        <f t="shared" si="69"/>
        <v>33.20442365140665</v>
      </c>
      <c r="H190" s="63">
        <f t="shared" si="69"/>
        <v>0</v>
      </c>
      <c r="I190" s="63">
        <f t="shared" si="69"/>
        <v>60.924287576378092</v>
      </c>
      <c r="J190" s="63">
        <f t="shared" si="69"/>
        <v>0</v>
      </c>
      <c r="K190" s="63">
        <f t="shared" si="69"/>
        <v>35.358557833323921</v>
      </c>
      <c r="L190" s="63">
        <f t="shared" si="69"/>
        <v>0</v>
      </c>
      <c r="M190" s="63">
        <f t="shared" si="69"/>
        <v>27.249672732709943</v>
      </c>
      <c r="N190" s="26">
        <f t="shared" si="69"/>
        <v>3698.1008116161329</v>
      </c>
      <c r="O190" s="26">
        <f t="shared" si="55"/>
        <v>3698.1008116161324</v>
      </c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</row>
    <row r="191" spans="1:65" x14ac:dyDescent="0.35">
      <c r="A191" s="3">
        <v>14</v>
      </c>
      <c r="B191" s="16" t="s">
        <v>69</v>
      </c>
      <c r="C191" s="63">
        <f t="shared" ref="C191:N191" si="70">C163/$C26</f>
        <v>528.9086332900622</v>
      </c>
      <c r="D191" s="63">
        <f t="shared" si="70"/>
        <v>1867.2322207468692</v>
      </c>
      <c r="E191" s="63">
        <f t="shared" si="70"/>
        <v>730.00003063198415</v>
      </c>
      <c r="F191" s="63">
        <f t="shared" si="70"/>
        <v>659.57365570736476</v>
      </c>
      <c r="G191" s="63">
        <f t="shared" si="70"/>
        <v>21.281030003293822</v>
      </c>
      <c r="H191" s="63">
        <f t="shared" si="70"/>
        <v>0</v>
      </c>
      <c r="I191" s="63">
        <f t="shared" si="70"/>
        <v>72.714582269990373</v>
      </c>
      <c r="J191" s="63">
        <f t="shared" si="70"/>
        <v>0</v>
      </c>
      <c r="K191" s="63">
        <f t="shared" si="70"/>
        <v>35.358557833323921</v>
      </c>
      <c r="L191" s="63">
        <f t="shared" si="70"/>
        <v>0</v>
      </c>
      <c r="M191" s="63">
        <f t="shared" si="70"/>
        <v>30.912891269273953</v>
      </c>
      <c r="N191" s="26">
        <f t="shared" si="70"/>
        <v>3945.9816017521616</v>
      </c>
      <c r="O191" s="26">
        <f t="shared" si="55"/>
        <v>3945.9816017521625</v>
      </c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</row>
    <row r="192" spans="1:65" x14ac:dyDescent="0.35">
      <c r="A192" s="3">
        <v>15</v>
      </c>
      <c r="B192" s="16" t="s">
        <v>71</v>
      </c>
      <c r="C192" s="63">
        <f t="shared" ref="C192:N192" si="71">C164/$C27</f>
        <v>528.9086332900622</v>
      </c>
      <c r="D192" s="63">
        <f t="shared" si="71"/>
        <v>1594.3686100325576</v>
      </c>
      <c r="E192" s="63">
        <f t="shared" si="71"/>
        <v>567.41038429151774</v>
      </c>
      <c r="F192" s="63">
        <f t="shared" si="71"/>
        <v>506.58008986102197</v>
      </c>
      <c r="G192" s="63">
        <f t="shared" si="71"/>
        <v>69.09690805908356</v>
      </c>
      <c r="H192" s="63">
        <f t="shared" si="71"/>
        <v>194.6520150163017</v>
      </c>
      <c r="I192" s="63">
        <f t="shared" si="71"/>
        <v>46.410826382755467</v>
      </c>
      <c r="J192" s="63">
        <f t="shared" si="71"/>
        <v>19.335957400642261</v>
      </c>
      <c r="K192" s="63">
        <f t="shared" si="71"/>
        <v>35.358557833323921</v>
      </c>
      <c r="L192" s="63">
        <f t="shared" si="71"/>
        <v>0</v>
      </c>
      <c r="M192" s="63">
        <f t="shared" si="71"/>
        <v>20.081915413184458</v>
      </c>
      <c r="N192" s="26">
        <f t="shared" si="71"/>
        <v>3582.2038975804517</v>
      </c>
      <c r="O192" s="26">
        <f t="shared" si="55"/>
        <v>3582.2038975804517</v>
      </c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</row>
    <row r="193" spans="1:65" x14ac:dyDescent="0.35">
      <c r="A193" s="3">
        <v>16</v>
      </c>
      <c r="B193" s="16" t="s">
        <v>73</v>
      </c>
      <c r="C193" s="63">
        <f t="shared" ref="C193:N193" si="72">C165/$C28</f>
        <v>528.9086332900622</v>
      </c>
      <c r="D193" s="63">
        <f t="shared" si="72"/>
        <v>1785.226862494083</v>
      </c>
      <c r="E193" s="63">
        <f t="shared" si="72"/>
        <v>626.364940383207</v>
      </c>
      <c r="F193" s="63">
        <f t="shared" si="72"/>
        <v>653.51212944960866</v>
      </c>
      <c r="G193" s="63">
        <f t="shared" si="72"/>
        <v>28.907988602198976</v>
      </c>
      <c r="H193" s="63">
        <f t="shared" si="72"/>
        <v>34.674835865632716</v>
      </c>
      <c r="I193" s="63">
        <f t="shared" si="72"/>
        <v>78.660534697945351</v>
      </c>
      <c r="J193" s="63">
        <f t="shared" si="72"/>
        <v>0</v>
      </c>
      <c r="K193" s="63">
        <f t="shared" si="72"/>
        <v>35.358557833323921</v>
      </c>
      <c r="L193" s="63">
        <f t="shared" si="72"/>
        <v>0</v>
      </c>
      <c r="M193" s="63">
        <f t="shared" si="72"/>
        <v>43.284944532665591</v>
      </c>
      <c r="N193" s="26">
        <f t="shared" si="72"/>
        <v>3814.8994271487263</v>
      </c>
      <c r="O193" s="26">
        <f t="shared" si="55"/>
        <v>3814.8994271487272</v>
      </c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</row>
    <row r="194" spans="1:65" x14ac:dyDescent="0.35">
      <c r="A194" s="3">
        <v>17</v>
      </c>
      <c r="B194" s="16" t="s">
        <v>75</v>
      </c>
      <c r="C194" s="63">
        <f t="shared" ref="C194:N194" si="73">C166/$C29</f>
        <v>528.9086332900622</v>
      </c>
      <c r="D194" s="63">
        <f t="shared" si="73"/>
        <v>1661.3949203955285</v>
      </c>
      <c r="E194" s="63">
        <f t="shared" si="73"/>
        <v>528.45095035778672</v>
      </c>
      <c r="F194" s="63">
        <f t="shared" si="73"/>
        <v>686.1670778329011</v>
      </c>
      <c r="G194" s="63">
        <f t="shared" si="73"/>
        <v>28.224239428578528</v>
      </c>
      <c r="H194" s="63">
        <f t="shared" si="73"/>
        <v>0</v>
      </c>
      <c r="I194" s="63">
        <f t="shared" si="73"/>
        <v>92.367043503078918</v>
      </c>
      <c r="J194" s="63">
        <f t="shared" si="73"/>
        <v>1.4650064887395431</v>
      </c>
      <c r="K194" s="63">
        <f t="shared" si="73"/>
        <v>35.358557833323921</v>
      </c>
      <c r="L194" s="63">
        <f t="shared" si="73"/>
        <v>0</v>
      </c>
      <c r="M194" s="63">
        <f t="shared" si="73"/>
        <v>18.467162291545073</v>
      </c>
      <c r="N194" s="26">
        <f t="shared" si="73"/>
        <v>3580.8035914215448</v>
      </c>
      <c r="O194" s="26">
        <f t="shared" si="55"/>
        <v>3580.8035914215448</v>
      </c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</row>
    <row r="195" spans="1:65" x14ac:dyDescent="0.35">
      <c r="A195" s="3">
        <v>18</v>
      </c>
      <c r="B195" s="16" t="s">
        <v>77</v>
      </c>
      <c r="C195" s="63">
        <f t="shared" ref="C195:N195" si="74">C167/$C30</f>
        <v>528.9086332900622</v>
      </c>
      <c r="D195" s="63">
        <f t="shared" si="74"/>
        <v>1904.0923716978707</v>
      </c>
      <c r="E195" s="63">
        <f t="shared" si="74"/>
        <v>813.90471247058383</v>
      </c>
      <c r="F195" s="63">
        <f t="shared" si="74"/>
        <v>790.10547793562284</v>
      </c>
      <c r="G195" s="63">
        <f t="shared" si="74"/>
        <v>27.324085242742644</v>
      </c>
      <c r="H195" s="63">
        <f t="shared" si="74"/>
        <v>0</v>
      </c>
      <c r="I195" s="63">
        <f t="shared" si="74"/>
        <v>286.35402013143278</v>
      </c>
      <c r="J195" s="63">
        <f t="shared" si="74"/>
        <v>0</v>
      </c>
      <c r="K195" s="63">
        <f t="shared" si="74"/>
        <v>35.358557833323921</v>
      </c>
      <c r="L195" s="63">
        <f t="shared" si="74"/>
        <v>0</v>
      </c>
      <c r="M195" s="63">
        <f t="shared" si="74"/>
        <v>30.972225300702291</v>
      </c>
      <c r="N195" s="26">
        <f t="shared" si="74"/>
        <v>4417.0200839023419</v>
      </c>
      <c r="O195" s="26">
        <f t="shared" si="55"/>
        <v>4417.020083902341</v>
      </c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x14ac:dyDescent="0.35">
      <c r="A196" s="3">
        <v>19</v>
      </c>
      <c r="B196" s="16" t="s">
        <v>79</v>
      </c>
      <c r="C196" s="63">
        <f t="shared" ref="C196:N196" si="75">C168/$C31</f>
        <v>528.9086332900622</v>
      </c>
      <c r="D196" s="63">
        <f t="shared" si="75"/>
        <v>1819.1185707953396</v>
      </c>
      <c r="E196" s="63">
        <f t="shared" si="75"/>
        <v>696.13958541358215</v>
      </c>
      <c r="F196" s="63">
        <f t="shared" si="75"/>
        <v>799.9703980588456</v>
      </c>
      <c r="G196" s="63">
        <f t="shared" si="75"/>
        <v>28.140615362312882</v>
      </c>
      <c r="H196" s="63">
        <f t="shared" si="75"/>
        <v>0</v>
      </c>
      <c r="I196" s="63">
        <f t="shared" si="75"/>
        <v>533.73172659651823</v>
      </c>
      <c r="J196" s="63">
        <f t="shared" si="75"/>
        <v>0</v>
      </c>
      <c r="K196" s="63">
        <f t="shared" si="75"/>
        <v>35.358557833323921</v>
      </c>
      <c r="L196" s="63">
        <f t="shared" si="75"/>
        <v>14.003876272952354</v>
      </c>
      <c r="M196" s="63">
        <f t="shared" si="75"/>
        <v>26.272925853516963</v>
      </c>
      <c r="N196" s="26">
        <f t="shared" si="75"/>
        <v>4481.6448894764535</v>
      </c>
      <c r="O196" s="26">
        <f t="shared" si="55"/>
        <v>4481.6448894764544</v>
      </c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x14ac:dyDescent="0.35">
      <c r="B197" s="16" t="s">
        <v>35</v>
      </c>
      <c r="C197" s="63">
        <f t="shared" ref="C197:N197" si="76">C169/$C32</f>
        <v>528.9086332900622</v>
      </c>
      <c r="D197" s="63">
        <f t="shared" si="76"/>
        <v>1703.7506955741278</v>
      </c>
      <c r="E197" s="63">
        <f t="shared" si="76"/>
        <v>569.68953772595046</v>
      </c>
      <c r="F197" s="63">
        <f t="shared" si="76"/>
        <v>606.51430222415433</v>
      </c>
      <c r="G197" s="63">
        <f t="shared" si="76"/>
        <v>70.717115666647842</v>
      </c>
      <c r="H197" s="63">
        <f t="shared" si="76"/>
        <v>17.679278916661957</v>
      </c>
      <c r="I197" s="63">
        <f t="shared" si="76"/>
        <v>57.211007538578698</v>
      </c>
      <c r="J197" s="63">
        <f t="shared" si="76"/>
        <v>3.9955170351656029</v>
      </c>
      <c r="K197" s="63">
        <f t="shared" si="76"/>
        <v>35.358557833323921</v>
      </c>
      <c r="L197" s="63">
        <f t="shared" si="76"/>
        <v>0.45552856801861474</v>
      </c>
      <c r="M197" s="63">
        <f t="shared" si="76"/>
        <v>25.03902473155701</v>
      </c>
      <c r="N197" s="26">
        <f t="shared" si="76"/>
        <v>3619.3191991042481</v>
      </c>
      <c r="O197" s="26">
        <f>SUM(C197:M197)</f>
        <v>3619.3191991042486</v>
      </c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ht="31" x14ac:dyDescent="0.35">
      <c r="B198" s="186" t="s">
        <v>449</v>
      </c>
      <c r="C198" s="109">
        <f>C197/$N$197</f>
        <v>0.14613484033708957</v>
      </c>
      <c r="D198" s="109">
        <f t="shared" ref="D198:N198" si="77">D197/$N$197</f>
        <v>0.47073789346786327</v>
      </c>
      <c r="E198" s="109">
        <f t="shared" si="77"/>
        <v>0.15740240260293814</v>
      </c>
      <c r="F198" s="109">
        <f t="shared" si="77"/>
        <v>0.16757690296403302</v>
      </c>
      <c r="G198" s="109">
        <f t="shared" si="77"/>
        <v>1.9538789417675499E-2</v>
      </c>
      <c r="H198" s="109">
        <f t="shared" si="77"/>
        <v>4.8846973544188739E-3</v>
      </c>
      <c r="I198" s="109">
        <f t="shared" si="77"/>
        <v>1.5807118519067884E-2</v>
      </c>
      <c r="J198" s="109">
        <f t="shared" si="77"/>
        <v>1.1039416020986656E-3</v>
      </c>
      <c r="K198" s="109">
        <f t="shared" si="77"/>
        <v>9.7693947088377496E-3</v>
      </c>
      <c r="L198" s="109">
        <f t="shared" si="77"/>
        <v>1.2586029110981821E-4</v>
      </c>
      <c r="M198" s="109">
        <f t="shared" si="77"/>
        <v>6.9181587348675858E-3</v>
      </c>
      <c r="N198" s="109">
        <f t="shared" si="77"/>
        <v>1</v>
      </c>
      <c r="O198" s="81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x14ac:dyDescent="0.35"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x14ac:dyDescent="0.35"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65" x14ac:dyDescent="0.35"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</row>
    <row r="202" spans="1:65" x14ac:dyDescent="0.35"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</row>
    <row r="203" spans="1:65" x14ac:dyDescent="0.35"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</row>
    <row r="204" spans="1:65" x14ac:dyDescent="0.35"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</row>
    <row r="205" spans="1:65" x14ac:dyDescent="0.35"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</row>
    <row r="206" spans="1:65" x14ac:dyDescent="0.35"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</row>
    <row r="207" spans="1:65" x14ac:dyDescent="0.35"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</row>
    <row r="208" spans="1:65" x14ac:dyDescent="0.35"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</row>
    <row r="209" spans="22:65" x14ac:dyDescent="0.35"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</row>
    <row r="210" spans="22:65" x14ac:dyDescent="0.35"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</row>
    <row r="211" spans="22:65" x14ac:dyDescent="0.35"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</row>
    <row r="212" spans="22:65" x14ac:dyDescent="0.35"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</row>
    <row r="213" spans="22:65" x14ac:dyDescent="0.35"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</row>
    <row r="214" spans="22:65" x14ac:dyDescent="0.35"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</row>
    <row r="215" spans="22:65" x14ac:dyDescent="0.35"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</row>
    <row r="216" spans="22:65" x14ac:dyDescent="0.35"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</row>
    <row r="217" spans="22:65" x14ac:dyDescent="0.35"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</row>
    <row r="218" spans="22:65" x14ac:dyDescent="0.35"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</row>
    <row r="219" spans="22:65" x14ac:dyDescent="0.35"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</row>
    <row r="220" spans="22:65" x14ac:dyDescent="0.35"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</row>
    <row r="221" spans="22:65" x14ac:dyDescent="0.35"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</row>
    <row r="222" spans="22:65" x14ac:dyDescent="0.35"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</row>
    <row r="223" spans="22:65" x14ac:dyDescent="0.35"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</row>
    <row r="224" spans="22:65" x14ac:dyDescent="0.35"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</row>
    <row r="225" spans="22:65" x14ac:dyDescent="0.35"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</row>
    <row r="226" spans="22:65" x14ac:dyDescent="0.35"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</row>
    <row r="227" spans="22:65" x14ac:dyDescent="0.35"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</row>
  </sheetData>
  <mergeCells count="1">
    <mergeCell ref="X172:Y172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X126"/>
  <sheetViews>
    <sheetView zoomScale="50" zoomScaleNormal="50" workbookViewId="0">
      <selection activeCell="A6" sqref="A6"/>
    </sheetView>
  </sheetViews>
  <sheetFormatPr defaultColWidth="8.4140625" defaultRowHeight="15.5" x14ac:dyDescent="0.35"/>
  <cols>
    <col min="1" max="1" width="21.6640625" style="3" customWidth="1"/>
    <col min="2" max="2" width="18.83203125" style="9" bestFit="1" customWidth="1"/>
    <col min="3" max="3" width="38" style="9" customWidth="1"/>
    <col min="4" max="4" width="32.6640625" style="9" customWidth="1"/>
    <col min="5" max="5" width="39.6640625" style="9" customWidth="1"/>
    <col min="6" max="6" width="42" style="9" customWidth="1"/>
    <col min="7" max="7" width="32.33203125" style="9" customWidth="1"/>
    <col min="8" max="8" width="29.6640625" style="9" customWidth="1"/>
    <col min="9" max="9" width="48.5" style="9" customWidth="1"/>
    <col min="10" max="10" width="49.83203125" style="9" customWidth="1"/>
    <col min="11" max="11" width="4.4140625" style="9" customWidth="1"/>
    <col min="12" max="13" width="9.6640625" style="9" customWidth="1"/>
    <col min="14" max="14" width="5.1640625" style="8" customWidth="1"/>
    <col min="15" max="15" width="5.08203125" style="8" customWidth="1"/>
    <col min="16" max="19" width="9.1640625" style="8" bestFit="1" customWidth="1"/>
    <col min="20" max="22" width="8.9140625" style="8" bestFit="1" customWidth="1"/>
    <col min="23" max="23" width="9.1640625" style="8" bestFit="1" customWidth="1"/>
    <col min="24" max="24" width="14.4140625" style="8" bestFit="1" customWidth="1"/>
    <col min="25" max="28" width="13.1640625" style="8" bestFit="1" customWidth="1"/>
    <col min="29" max="29" width="14.1640625" style="8" bestFit="1" customWidth="1"/>
    <col min="30" max="30" width="13.1640625" style="8" bestFit="1" customWidth="1"/>
    <col min="31" max="31" width="10.58203125" style="8" customWidth="1"/>
    <col min="32" max="32" width="6" style="8" customWidth="1"/>
    <col min="33" max="36" width="8.08203125" style="8" bestFit="1" customWidth="1"/>
    <col min="37" max="38" width="8.9140625" style="8" bestFit="1" customWidth="1"/>
    <col min="39" max="50" width="8.4140625" style="8"/>
    <col min="51" max="16384" width="8.4140625" style="9"/>
  </cols>
  <sheetData>
    <row r="1" spans="1:50" s="3" customFormat="1" ht="18" x14ac:dyDescent="0.35">
      <c r="A1" s="272" t="s">
        <v>452</v>
      </c>
      <c r="B1" s="155"/>
      <c r="C1" s="155"/>
      <c r="D1" s="155"/>
      <c r="E1" s="201"/>
      <c r="F1" s="201"/>
      <c r="G1" s="201"/>
      <c r="H1" s="201"/>
      <c r="I1" s="201"/>
      <c r="J1" s="201"/>
      <c r="K1" s="201"/>
      <c r="L1" s="201"/>
      <c r="M1" s="201"/>
      <c r="N1" s="69"/>
      <c r="O1" s="69"/>
      <c r="P1" s="69"/>
      <c r="Q1" s="69"/>
      <c r="R1" s="69"/>
      <c r="S1" s="69"/>
      <c r="T1" s="69"/>
      <c r="U1" s="69"/>
      <c r="V1" s="69"/>
      <c r="W1" s="69"/>
      <c r="X1" s="166"/>
      <c r="Y1" s="166"/>
      <c r="Z1" s="166"/>
      <c r="AA1" s="166"/>
      <c r="AB1" s="166"/>
      <c r="AC1" s="166"/>
      <c r="AD1" s="166"/>
      <c r="AE1" s="164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s="3" customFormat="1" x14ac:dyDescent="0.35">
      <c r="A2" s="202" t="str">
        <f>Info!A2</f>
        <v>Finansministeriet/Kommun- och regionförvaltningsavdelningen 8.12.2020</v>
      </c>
      <c r="B2" s="155"/>
      <c r="C2" s="155"/>
      <c r="D2" s="155"/>
      <c r="E2" s="201"/>
      <c r="F2" s="201"/>
      <c r="G2" s="201"/>
      <c r="H2" s="201"/>
      <c r="I2" s="201"/>
      <c r="J2" s="201"/>
      <c r="K2" s="201"/>
      <c r="L2" s="201"/>
      <c r="M2" s="201"/>
      <c r="N2" s="69"/>
      <c r="O2" s="69"/>
      <c r="P2" s="69"/>
      <c r="Q2" s="69"/>
      <c r="R2" s="69"/>
      <c r="S2" s="69"/>
      <c r="T2" s="69"/>
      <c r="U2" s="69"/>
      <c r="V2" s="69"/>
      <c r="W2" s="69"/>
      <c r="X2" s="166"/>
      <c r="Y2" s="166"/>
      <c r="Z2" s="166"/>
      <c r="AA2" s="166"/>
      <c r="AB2" s="166"/>
      <c r="AC2" s="166"/>
      <c r="AD2" s="166"/>
      <c r="AE2" s="16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s="3" customFormat="1" x14ac:dyDescent="0.35">
      <c r="A3" s="202" t="s">
        <v>453</v>
      </c>
      <c r="B3" s="155"/>
      <c r="C3" s="155"/>
      <c r="D3" s="155"/>
      <c r="E3" s="201"/>
      <c r="F3" s="201"/>
      <c r="G3" s="201"/>
      <c r="H3" s="201"/>
      <c r="I3" s="201"/>
      <c r="J3" s="201"/>
      <c r="K3" s="201"/>
      <c r="L3" s="201"/>
      <c r="M3" s="201"/>
      <c r="N3" s="69"/>
      <c r="O3" s="69"/>
      <c r="P3" s="69"/>
      <c r="Q3" s="69"/>
      <c r="R3" s="69"/>
      <c r="S3" s="69"/>
      <c r="T3" s="69"/>
      <c r="U3" s="69"/>
      <c r="V3" s="69"/>
      <c r="W3" s="69"/>
      <c r="X3" s="166"/>
      <c r="Y3" s="166"/>
      <c r="Z3" s="166"/>
      <c r="AA3" s="166"/>
      <c r="AB3" s="166"/>
      <c r="AC3" s="166"/>
      <c r="AD3" s="166"/>
      <c r="AE3" s="164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s="3" customFormat="1" x14ac:dyDescent="0.35">
      <c r="A4" s="9" t="s">
        <v>454</v>
      </c>
      <c r="B4" s="155"/>
      <c r="C4" s="155"/>
      <c r="D4" s="155"/>
      <c r="E4" s="201"/>
      <c r="F4" s="201"/>
      <c r="G4" s="201"/>
      <c r="H4" s="201"/>
      <c r="I4" s="201"/>
      <c r="J4" s="170"/>
      <c r="K4" s="170"/>
      <c r="L4" s="170"/>
      <c r="M4" s="170"/>
      <c r="N4" s="69"/>
      <c r="O4" s="69"/>
      <c r="P4" s="69"/>
      <c r="Q4" s="69"/>
      <c r="R4" s="69"/>
      <c r="S4" s="69"/>
      <c r="T4" s="69"/>
      <c r="U4" s="69"/>
      <c r="V4" s="69"/>
      <c r="W4" s="69"/>
      <c r="X4" s="166"/>
      <c r="Y4" s="166"/>
      <c r="Z4" s="166"/>
      <c r="AA4" s="166"/>
      <c r="AB4" s="166"/>
      <c r="AC4" s="166"/>
      <c r="AD4" s="166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x14ac:dyDescent="0.35">
      <c r="A5" s="9" t="s">
        <v>455</v>
      </c>
      <c r="B5" s="155"/>
      <c r="C5" s="155"/>
      <c r="D5" s="155"/>
      <c r="E5" s="201"/>
      <c r="F5" s="201"/>
      <c r="G5" s="201"/>
      <c r="H5" s="201"/>
      <c r="I5" s="201"/>
      <c r="J5" s="170"/>
      <c r="K5" s="170"/>
      <c r="L5" s="170"/>
      <c r="M5" s="170"/>
      <c r="N5" s="69"/>
      <c r="O5" s="69"/>
      <c r="P5" s="69"/>
      <c r="Q5" s="69"/>
      <c r="R5" s="69"/>
      <c r="S5" s="69"/>
      <c r="T5" s="69"/>
      <c r="U5" s="69"/>
      <c r="V5" s="69"/>
      <c r="W5" s="69"/>
      <c r="X5" s="166"/>
      <c r="Y5" s="166"/>
      <c r="Z5" s="166"/>
      <c r="AA5" s="166"/>
      <c r="AB5" s="166"/>
      <c r="AC5" s="166"/>
      <c r="AD5" s="166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x14ac:dyDescent="0.35">
      <c r="A6" s="9" t="s">
        <v>456</v>
      </c>
      <c r="B6" s="155"/>
      <c r="C6" s="155"/>
      <c r="D6" s="155"/>
      <c r="E6" s="201"/>
      <c r="F6" s="201"/>
      <c r="G6" s="201"/>
      <c r="H6" s="201"/>
      <c r="I6" s="201"/>
      <c r="J6" s="170"/>
      <c r="K6" s="170"/>
      <c r="L6" s="170"/>
      <c r="M6" s="170"/>
      <c r="N6" s="69"/>
      <c r="O6" s="69"/>
      <c r="P6" s="69"/>
      <c r="Q6" s="69"/>
      <c r="R6" s="69"/>
      <c r="S6" s="69"/>
      <c r="T6" s="69"/>
      <c r="U6" s="69"/>
      <c r="V6" s="69"/>
      <c r="W6" s="69"/>
      <c r="X6" s="166"/>
      <c r="Y6" s="166"/>
      <c r="Z6" s="166"/>
      <c r="AA6" s="166"/>
      <c r="AB6" s="166"/>
      <c r="AC6" s="166"/>
      <c r="AD6" s="166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x14ac:dyDescent="0.35">
      <c r="A7" s="9" t="s">
        <v>457</v>
      </c>
      <c r="B7" s="155"/>
      <c r="C7" s="155"/>
      <c r="D7" s="155"/>
      <c r="E7" s="201"/>
      <c r="F7" s="201"/>
      <c r="G7" s="201"/>
      <c r="H7" s="201"/>
      <c r="I7" s="201"/>
      <c r="J7" s="170"/>
      <c r="K7" s="170"/>
      <c r="L7" s="170"/>
      <c r="M7" s="170"/>
      <c r="N7" s="69"/>
      <c r="O7" s="69"/>
      <c r="P7" s="69"/>
      <c r="Q7" s="69"/>
      <c r="R7" s="69"/>
      <c r="S7" s="69"/>
      <c r="T7" s="69"/>
      <c r="U7" s="69"/>
      <c r="V7" s="69"/>
      <c r="W7" s="69"/>
      <c r="X7" s="166"/>
      <c r="Y7" s="166"/>
      <c r="Z7" s="166"/>
      <c r="AA7" s="166"/>
      <c r="AB7" s="166"/>
      <c r="AC7" s="166"/>
      <c r="AD7" s="166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x14ac:dyDescent="0.35">
      <c r="A8" s="9"/>
      <c r="B8" s="155"/>
      <c r="C8" s="155"/>
      <c r="D8" s="155"/>
      <c r="E8" s="201"/>
      <c r="F8" s="201"/>
      <c r="G8" s="201"/>
      <c r="H8" s="201"/>
      <c r="I8" s="201"/>
      <c r="J8" s="170"/>
      <c r="K8" s="170"/>
      <c r="L8" s="170"/>
      <c r="M8" s="170"/>
      <c r="N8" s="69"/>
      <c r="O8" s="69"/>
      <c r="P8" s="69"/>
      <c r="Q8" s="69"/>
      <c r="R8" s="69"/>
      <c r="S8" s="69"/>
      <c r="T8" s="69"/>
      <c r="U8" s="69"/>
      <c r="V8" s="69"/>
      <c r="W8" s="69"/>
      <c r="X8" s="166"/>
      <c r="Y8" s="166"/>
      <c r="Z8" s="166"/>
      <c r="AA8" s="166"/>
      <c r="AB8" s="166"/>
      <c r="AC8" s="166"/>
      <c r="AD8" s="166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x14ac:dyDescent="0.35">
      <c r="A9" s="17" t="s">
        <v>417</v>
      </c>
      <c r="B9" s="23"/>
      <c r="C9" s="23"/>
      <c r="D9" s="226"/>
      <c r="E9" s="227"/>
      <c r="F9" s="227"/>
      <c r="G9" s="227"/>
      <c r="H9" s="227"/>
      <c r="I9" s="228"/>
      <c r="J9" s="228"/>
      <c r="K9" s="177"/>
      <c r="L9" s="498"/>
      <c r="M9" s="498"/>
      <c r="N9" s="177"/>
      <c r="O9" s="125"/>
      <c r="P9" s="8"/>
      <c r="Q9" s="8"/>
      <c r="R9" s="8"/>
      <c r="S9" s="8"/>
      <c r="T9" s="8"/>
      <c r="U9" s="8"/>
      <c r="V9" s="8"/>
      <c r="W9" s="8"/>
      <c r="X9" s="204"/>
      <c r="Y9" s="204"/>
      <c r="Z9" s="204"/>
      <c r="AA9" s="204"/>
      <c r="AB9" s="204"/>
      <c r="AC9" s="204"/>
      <c r="AD9" s="204"/>
      <c r="AE9" s="8"/>
      <c r="AF9" s="204"/>
      <c r="AG9" s="204"/>
      <c r="AH9" s="204"/>
      <c r="AI9" s="204"/>
      <c r="AJ9" s="204"/>
      <c r="AK9" s="204"/>
      <c r="AL9" s="204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46.5" x14ac:dyDescent="0.35">
      <c r="A10" s="273" t="s">
        <v>22</v>
      </c>
      <c r="B10" s="71" t="s">
        <v>34</v>
      </c>
      <c r="C10" s="71" t="s">
        <v>388</v>
      </c>
      <c r="D10" s="265" t="s">
        <v>458</v>
      </c>
      <c r="E10" s="264" t="s">
        <v>422</v>
      </c>
      <c r="F10" s="265" t="s">
        <v>425</v>
      </c>
      <c r="G10" s="265" t="s">
        <v>427</v>
      </c>
      <c r="H10" s="263" t="s">
        <v>420</v>
      </c>
      <c r="I10" s="265" t="s">
        <v>421</v>
      </c>
      <c r="J10" s="265" t="s">
        <v>423</v>
      </c>
      <c r="K10" s="176"/>
      <c r="N10" s="1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4"/>
      <c r="AG10" s="204"/>
      <c r="AH10" s="204"/>
      <c r="AI10" s="204"/>
      <c r="AJ10" s="204"/>
      <c r="AK10" s="204"/>
      <c r="AL10" s="204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x14ac:dyDescent="0.35">
      <c r="A11" s="205"/>
      <c r="B11" s="100" t="s">
        <v>37</v>
      </c>
      <c r="C11" s="206">
        <f>Bestämningsfaktorer!C4</f>
        <v>648042</v>
      </c>
      <c r="D11" s="63">
        <f>'Sammanfattning och ändring jämf'!D10</f>
        <v>2100658012.632374</v>
      </c>
      <c r="E11" s="40">
        <f>'Sammanfattning och ändring jämf'!J10</f>
        <v>2060384292.3906343</v>
      </c>
      <c r="F11" s="65">
        <f t="shared" ref="F11:F32" si="0">E11-D11</f>
        <v>-40273720.24173975</v>
      </c>
      <c r="G11" s="160">
        <f>F11/C11</f>
        <v>-62.146774810490292</v>
      </c>
      <c r="H11" s="40">
        <f>'Sammanfattning och ändring jämf'!F10</f>
        <v>2061614278.193794</v>
      </c>
      <c r="I11" s="65">
        <f t="shared" ref="I11:I32" si="1">H11-D11</f>
        <v>-39043734.438580036</v>
      </c>
      <c r="J11" s="172">
        <f t="shared" ref="J11:J32" si="2">I11/C11</f>
        <v>-60.248771589773561</v>
      </c>
      <c r="N11" s="166"/>
      <c r="O11" s="20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64"/>
      <c r="AF11" s="164"/>
      <c r="AG11" s="164"/>
      <c r="AH11" s="164"/>
      <c r="AI11" s="164"/>
      <c r="AJ11" s="164"/>
      <c r="AK11" s="164"/>
      <c r="AL11" s="164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x14ac:dyDescent="0.35">
      <c r="A12" s="205"/>
      <c r="B12" s="100" t="s">
        <v>459</v>
      </c>
      <c r="C12" s="206">
        <f>Bestämningsfaktorer!C5</f>
        <v>264420</v>
      </c>
      <c r="D12" s="63">
        <f>'Sammanfattning och ändring jämf'!D11</f>
        <v>802112801.48670542</v>
      </c>
      <c r="E12" s="40">
        <f>'Sammanfattning och ändring jämf'!J11</f>
        <v>813548652.34759855</v>
      </c>
      <c r="F12" s="65">
        <f t="shared" si="0"/>
        <v>11435850.86089313</v>
      </c>
      <c r="G12" s="160">
        <f t="shared" ref="G12:G33" si="3">F12/C12</f>
        <v>43.24881196918966</v>
      </c>
      <c r="H12" s="40">
        <f>'Sammanfattning och ändring jämf'!F11</f>
        <v>814960114.42580402</v>
      </c>
      <c r="I12" s="65">
        <f t="shared" si="1"/>
        <v>12847312.939098597</v>
      </c>
      <c r="J12" s="172">
        <f t="shared" si="2"/>
        <v>48.586767033880179</v>
      </c>
      <c r="N12" s="166"/>
      <c r="O12" s="20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64"/>
      <c r="AF12" s="164"/>
      <c r="AG12" s="164"/>
      <c r="AH12" s="164"/>
      <c r="AI12" s="164"/>
      <c r="AJ12" s="164"/>
      <c r="AK12" s="164"/>
      <c r="AL12" s="164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x14ac:dyDescent="0.35">
      <c r="A13" s="205"/>
      <c r="B13" s="100" t="s">
        <v>41</v>
      </c>
      <c r="C13" s="206">
        <f>Bestämningsfaktorer!C6</f>
        <v>464302</v>
      </c>
      <c r="D13" s="63">
        <f>'Sammanfattning och ändring jämf'!D12</f>
        <v>1445215898.6331346</v>
      </c>
      <c r="E13" s="40">
        <f>'Sammanfattning och ändring jämf'!J12</f>
        <v>1398452504.5339043</v>
      </c>
      <c r="F13" s="65">
        <f t="shared" si="0"/>
        <v>-46763394.099230289</v>
      </c>
      <c r="G13" s="160">
        <f t="shared" si="3"/>
        <v>-100.71762365708157</v>
      </c>
      <c r="H13" s="40">
        <f>'Sammanfattning och ändring jämf'!F12</f>
        <v>1397622551.6228626</v>
      </c>
      <c r="I13" s="65">
        <f t="shared" si="1"/>
        <v>-47593347.010272026</v>
      </c>
      <c r="J13" s="172">
        <f t="shared" si="2"/>
        <v>-102.50515184141362</v>
      </c>
      <c r="N13" s="166"/>
      <c r="O13" s="20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64"/>
      <c r="AF13" s="164"/>
      <c r="AG13" s="164"/>
      <c r="AH13" s="164"/>
      <c r="AI13" s="164"/>
      <c r="AJ13" s="164"/>
      <c r="AK13" s="164"/>
      <c r="AL13" s="164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x14ac:dyDescent="0.35">
      <c r="A14" s="205"/>
      <c r="B14" s="100" t="s">
        <v>43</v>
      </c>
      <c r="C14" s="206">
        <f>Bestämningsfaktorer!C7</f>
        <v>97263</v>
      </c>
      <c r="D14" s="63">
        <f>'Sammanfattning och ändring jämf'!D13</f>
        <v>319181836.87353122</v>
      </c>
      <c r="E14" s="40">
        <f>'Sammanfattning och ändring jämf'!J13</f>
        <v>335959243.8498323</v>
      </c>
      <c r="F14" s="65">
        <f t="shared" si="0"/>
        <v>16777406.976301074</v>
      </c>
      <c r="G14" s="160">
        <f t="shared" si="3"/>
        <v>172.49526517073372</v>
      </c>
      <c r="H14" s="40">
        <f>'Sammanfattning och ändring jämf'!F13</f>
        <v>336400861.28254163</v>
      </c>
      <c r="I14" s="65">
        <f t="shared" si="1"/>
        <v>17219024.40901041</v>
      </c>
      <c r="J14" s="172">
        <f t="shared" si="2"/>
        <v>177.0357115142491</v>
      </c>
      <c r="N14" s="166"/>
      <c r="O14" s="20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64"/>
      <c r="AF14" s="164"/>
      <c r="AG14" s="164"/>
      <c r="AH14" s="164"/>
      <c r="AI14" s="164"/>
      <c r="AJ14" s="164"/>
      <c r="AK14" s="164"/>
      <c r="AL14" s="164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x14ac:dyDescent="0.35">
      <c r="A15" s="208"/>
      <c r="B15" s="103" t="s">
        <v>45</v>
      </c>
      <c r="C15" s="209">
        <f>Bestämningsfaktorer!C8</f>
        <v>196997</v>
      </c>
      <c r="D15" s="45">
        <f>'Sammanfattning och ändring jämf'!D14</f>
        <v>661684911.39505982</v>
      </c>
      <c r="E15" s="182">
        <f>'Sammanfattning och ändring jämf'!J14</f>
        <v>619179646.69883668</v>
      </c>
      <c r="F15" s="210">
        <f t="shared" si="0"/>
        <v>-42505264.69622314</v>
      </c>
      <c r="G15" s="211">
        <f t="shared" si="3"/>
        <v>-215.76605073286973</v>
      </c>
      <c r="H15" s="182">
        <f>'Sammanfattning och ändring jämf'!F14</f>
        <v>619689302.40055168</v>
      </c>
      <c r="I15" s="210">
        <f t="shared" si="1"/>
        <v>-41995608.994508147</v>
      </c>
      <c r="J15" s="172">
        <f t="shared" si="2"/>
        <v>-213.17892655476047</v>
      </c>
      <c r="N15" s="166"/>
      <c r="O15" s="20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64"/>
      <c r="AF15" s="164"/>
      <c r="AG15" s="164"/>
      <c r="AH15" s="164"/>
      <c r="AI15" s="164"/>
      <c r="AJ15" s="164"/>
      <c r="AK15" s="164"/>
      <c r="AL15" s="164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x14ac:dyDescent="0.35">
      <c r="A16" s="133"/>
      <c r="B16" s="133" t="s">
        <v>47</v>
      </c>
      <c r="C16" s="206">
        <f>Bestämningsfaktorer!C9</f>
        <v>478582</v>
      </c>
      <c r="D16" s="63">
        <f>'Sammanfattning och ändring jämf'!D15</f>
        <v>1748366231.0011101</v>
      </c>
      <c r="E16" s="40">
        <f>'Sammanfattning och ändring jämf'!J15</f>
        <v>1781759640.3363769</v>
      </c>
      <c r="F16" s="65">
        <f t="shared" si="0"/>
        <v>33393409.335266829</v>
      </c>
      <c r="G16" s="160">
        <f t="shared" si="3"/>
        <v>69.775731923195664</v>
      </c>
      <c r="H16" s="40">
        <f>'Sammanfattning och ändring jämf'!F15</f>
        <v>1779987841.9085619</v>
      </c>
      <c r="I16" s="65">
        <f t="shared" si="1"/>
        <v>31621610.907451868</v>
      </c>
      <c r="J16" s="172">
        <f t="shared" si="2"/>
        <v>66.073548331219868</v>
      </c>
      <c r="N16" s="166"/>
      <c r="O16" s="21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64"/>
      <c r="AF16" s="164"/>
      <c r="AG16" s="164"/>
      <c r="AH16" s="164"/>
      <c r="AI16" s="164"/>
      <c r="AJ16" s="164"/>
      <c r="AK16" s="164"/>
      <c r="AL16" s="164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x14ac:dyDescent="0.35">
      <c r="A17" s="133"/>
      <c r="B17" s="133" t="s">
        <v>49</v>
      </c>
      <c r="C17" s="206">
        <f>Bestämningsfaktorer!C10</f>
        <v>218624</v>
      </c>
      <c r="D17" s="63">
        <f>'Sammanfattning och ändring jämf'!D16</f>
        <v>848888235.2238462</v>
      </c>
      <c r="E17" s="40">
        <f>'Sammanfattning och ändring jämf'!J16</f>
        <v>842065108.93146753</v>
      </c>
      <c r="F17" s="65">
        <f t="shared" si="0"/>
        <v>-6823126.292378664</v>
      </c>
      <c r="G17" s="160">
        <f t="shared" si="3"/>
        <v>-31.209411100239059</v>
      </c>
      <c r="H17" s="40">
        <f>'Sammanfattning och ändring jämf'!F16</f>
        <v>845334820.33566487</v>
      </c>
      <c r="I17" s="65">
        <f t="shared" si="1"/>
        <v>-3553414.8881813288</v>
      </c>
      <c r="J17" s="172">
        <f t="shared" si="2"/>
        <v>-16.253544387539012</v>
      </c>
      <c r="N17" s="166"/>
      <c r="O17" s="21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64"/>
      <c r="AF17" s="164"/>
      <c r="AG17" s="164"/>
      <c r="AH17" s="164"/>
      <c r="AI17" s="164"/>
      <c r="AJ17" s="164"/>
      <c r="AK17" s="164"/>
      <c r="AL17" s="164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x14ac:dyDescent="0.35">
      <c r="A18" s="133"/>
      <c r="B18" s="133" t="s">
        <v>51</v>
      </c>
      <c r="C18" s="206">
        <f>Bestämningsfaktorer!C11</f>
        <v>171364</v>
      </c>
      <c r="D18" s="63">
        <f>'Sammanfattning och ändring jämf'!D17</f>
        <v>623755937.56357765</v>
      </c>
      <c r="E18" s="40">
        <f>'Sammanfattning och ändring jämf'!J17</f>
        <v>638126125.55228448</v>
      </c>
      <c r="F18" s="65">
        <f t="shared" si="0"/>
        <v>14370187.988706827</v>
      </c>
      <c r="G18" s="160">
        <f t="shared" si="3"/>
        <v>83.857682994717834</v>
      </c>
      <c r="H18" s="40">
        <f>'Sammanfattning och ändring jämf'!F17</f>
        <v>637549395.90494812</v>
      </c>
      <c r="I18" s="65">
        <f t="shared" si="1"/>
        <v>13793458.341370463</v>
      </c>
      <c r="J18" s="172">
        <f t="shared" si="2"/>
        <v>80.492159037898645</v>
      </c>
      <c r="N18" s="166"/>
      <c r="O18" s="21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64"/>
      <c r="AF18" s="164"/>
      <c r="AG18" s="164"/>
      <c r="AH18" s="164"/>
      <c r="AI18" s="164"/>
      <c r="AJ18" s="164"/>
      <c r="AK18" s="164"/>
      <c r="AL18" s="164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x14ac:dyDescent="0.35">
      <c r="A19" s="133"/>
      <c r="B19" s="133" t="s">
        <v>53</v>
      </c>
      <c r="C19" s="206">
        <f>Bestämningsfaktorer!C12</f>
        <v>517333</v>
      </c>
      <c r="D19" s="63">
        <f>'Sammanfattning och ändring jämf'!D18</f>
        <v>1819691832.0967524</v>
      </c>
      <c r="E19" s="40">
        <f>'Sammanfattning och ändring jämf'!J18</f>
        <v>1835732259.314394</v>
      </c>
      <c r="F19" s="65">
        <f t="shared" si="0"/>
        <v>16040427.217641592</v>
      </c>
      <c r="G19" s="160">
        <f t="shared" si="3"/>
        <v>31.006000424565208</v>
      </c>
      <c r="H19" s="40">
        <f>'Sammanfattning och ändring jämf'!F18</f>
        <v>1834324762.3753176</v>
      </c>
      <c r="I19" s="65">
        <f t="shared" si="1"/>
        <v>14632930.278565168</v>
      </c>
      <c r="J19" s="172">
        <f t="shared" si="2"/>
        <v>28.285321598593494</v>
      </c>
      <c r="N19" s="166"/>
      <c r="O19" s="21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64"/>
      <c r="AF19" s="164"/>
      <c r="AG19" s="164"/>
      <c r="AH19" s="164"/>
      <c r="AI19" s="164"/>
      <c r="AJ19" s="164"/>
      <c r="AK19" s="164"/>
      <c r="AL19" s="164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x14ac:dyDescent="0.35">
      <c r="A20" s="133"/>
      <c r="B20" s="133" t="s">
        <v>55</v>
      </c>
      <c r="C20" s="206">
        <f>Bestämningsfaktorer!C13</f>
        <v>207394</v>
      </c>
      <c r="D20" s="63">
        <f>'Sammanfattning och ändring jämf'!D19</f>
        <v>759286097.69413257</v>
      </c>
      <c r="E20" s="40">
        <f>'Sammanfattning och ändring jämf'!J19</f>
        <v>791188527.44999123</v>
      </c>
      <c r="F20" s="65">
        <f t="shared" si="0"/>
        <v>31902429.75585866</v>
      </c>
      <c r="G20" s="160">
        <f t="shared" si="3"/>
        <v>153.82523002525946</v>
      </c>
      <c r="H20" s="40">
        <f>'Sammanfattning och ändring jämf'!F19</f>
        <v>789738148.4014436</v>
      </c>
      <c r="I20" s="65">
        <f t="shared" si="1"/>
        <v>30452050.707311034</v>
      </c>
      <c r="J20" s="172">
        <f t="shared" si="2"/>
        <v>146.83187897099739</v>
      </c>
      <c r="N20" s="166"/>
      <c r="O20" s="212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64"/>
      <c r="AF20" s="164"/>
      <c r="AG20" s="164"/>
      <c r="AH20" s="164"/>
      <c r="AI20" s="164"/>
      <c r="AJ20" s="164"/>
      <c r="AK20" s="164"/>
      <c r="AL20" s="164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x14ac:dyDescent="0.35">
      <c r="A21" s="133"/>
      <c r="B21" s="133" t="s">
        <v>57</v>
      </c>
      <c r="C21" s="206">
        <f>Bestämningsfaktorer!C14</f>
        <v>166623</v>
      </c>
      <c r="D21" s="63">
        <f>'Sammanfattning och ändring jämf'!D20</f>
        <v>696081406.3481909</v>
      </c>
      <c r="E21" s="40">
        <f>'Sammanfattning och ändring jämf'!J20</f>
        <v>677675250.54405916</v>
      </c>
      <c r="F21" s="65">
        <f t="shared" si="0"/>
        <v>-18406155.804131746</v>
      </c>
      <c r="G21" s="160">
        <f t="shared" si="3"/>
        <v>-110.46587688453423</v>
      </c>
      <c r="H21" s="40">
        <f>'Sammanfattning och ändring jämf'!F20</f>
        <v>677773563.24551988</v>
      </c>
      <c r="I21" s="65">
        <f t="shared" si="1"/>
        <v>-18307843.102671027</v>
      </c>
      <c r="J21" s="172">
        <f t="shared" si="2"/>
        <v>-109.87584608770113</v>
      </c>
      <c r="N21" s="166"/>
      <c r="O21" s="20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64"/>
      <c r="AF21" s="164"/>
      <c r="AG21" s="164"/>
      <c r="AH21" s="164"/>
      <c r="AI21" s="164"/>
      <c r="AJ21" s="164"/>
      <c r="AK21" s="164"/>
      <c r="AL21" s="164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x14ac:dyDescent="0.35">
      <c r="A22" s="133"/>
      <c r="B22" s="133" t="s">
        <v>59</v>
      </c>
      <c r="C22" s="206">
        <f>Bestämningsfaktorer!C15</f>
        <v>128756</v>
      </c>
      <c r="D22" s="63">
        <f>'Sammanfattning och ändring jämf'!D21</f>
        <v>486191942.45199692</v>
      </c>
      <c r="E22" s="40">
        <f>'Sammanfattning och ändring jämf'!J21</f>
        <v>499524893.79788399</v>
      </c>
      <c r="F22" s="65">
        <f t="shared" si="0"/>
        <v>13332951.345887065</v>
      </c>
      <c r="G22" s="160">
        <f t="shared" si="3"/>
        <v>103.55207792947175</v>
      </c>
      <c r="H22" s="40">
        <f>'Sammanfattning och ändring jämf'!F21</f>
        <v>499313889.56505805</v>
      </c>
      <c r="I22" s="65">
        <f t="shared" si="1"/>
        <v>13121947.11306113</v>
      </c>
      <c r="J22" s="172">
        <f t="shared" si="2"/>
        <v>101.91328647256151</v>
      </c>
      <c r="N22" s="166"/>
      <c r="O22" s="20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64"/>
      <c r="AF22" s="164"/>
      <c r="AG22" s="164"/>
      <c r="AH22" s="164"/>
      <c r="AI22" s="164"/>
      <c r="AJ22" s="164"/>
      <c r="AK22" s="164"/>
      <c r="AL22" s="164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x14ac:dyDescent="0.35">
      <c r="A23" s="133"/>
      <c r="B23" s="133" t="s">
        <v>61</v>
      </c>
      <c r="C23" s="206">
        <f>Bestämningsfaktorer!C16</f>
        <v>136474</v>
      </c>
      <c r="D23" s="63">
        <f>'Sammanfattning och ändring jämf'!D22</f>
        <v>608453230.93811393</v>
      </c>
      <c r="E23" s="40">
        <f>'Sammanfattning och ändring jämf'!J22</f>
        <v>594719496.54418194</v>
      </c>
      <c r="F23" s="65">
        <f t="shared" si="0"/>
        <v>-13733734.393931985</v>
      </c>
      <c r="G23" s="160">
        <f t="shared" si="3"/>
        <v>-100.63260689898431</v>
      </c>
      <c r="H23" s="40">
        <f>'Sammanfattning och ändring jämf'!F22</f>
        <v>594705480.72056377</v>
      </c>
      <c r="I23" s="65">
        <f t="shared" si="1"/>
        <v>-13747750.217550159</v>
      </c>
      <c r="J23" s="172">
        <f t="shared" si="2"/>
        <v>-100.73530648731743</v>
      </c>
      <c r="N23" s="166"/>
      <c r="O23" s="20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64"/>
      <c r="AF23" s="164"/>
      <c r="AG23" s="164"/>
      <c r="AH23" s="164"/>
      <c r="AI23" s="164"/>
      <c r="AJ23" s="164"/>
      <c r="AK23" s="164"/>
      <c r="AL23" s="164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x14ac:dyDescent="0.35">
      <c r="A24" s="133"/>
      <c r="B24" s="133" t="s">
        <v>63</v>
      </c>
      <c r="C24" s="206">
        <f>Bestämningsfaktorer!C17</f>
        <v>250414</v>
      </c>
      <c r="D24" s="63">
        <f>'Sammanfattning och ändring jämf'!D23</f>
        <v>1023104800.6721396</v>
      </c>
      <c r="E24" s="40">
        <f>'Sammanfattning och ändring jämf'!J23</f>
        <v>1010084632.3828382</v>
      </c>
      <c r="F24" s="65">
        <f t="shared" si="0"/>
        <v>-13020168.289301395</v>
      </c>
      <c r="G24" s="160">
        <f t="shared" si="3"/>
        <v>-51.994570149038772</v>
      </c>
      <c r="H24" s="40">
        <f>'Sammanfattning och ändring jämf'!F23</f>
        <v>1010345257.07107</v>
      </c>
      <c r="I24" s="65">
        <f t="shared" si="1"/>
        <v>-12759543.601069689</v>
      </c>
      <c r="J24" s="172">
        <f t="shared" si="2"/>
        <v>-50.953794919891415</v>
      </c>
      <c r="N24" s="166"/>
      <c r="O24" s="20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64"/>
      <c r="AF24" s="164"/>
      <c r="AG24" s="164"/>
      <c r="AH24" s="164"/>
      <c r="AI24" s="164"/>
      <c r="AJ24" s="164"/>
      <c r="AK24" s="164"/>
      <c r="AL24" s="164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x14ac:dyDescent="0.35">
      <c r="A25" s="24"/>
      <c r="B25" s="24" t="s">
        <v>65</v>
      </c>
      <c r="C25" s="206">
        <f>Bestämningsfaktorer!C18</f>
        <v>165569</v>
      </c>
      <c r="D25" s="63">
        <f>'Sammanfattning och ändring jämf'!D24</f>
        <v>637120339.95948291</v>
      </c>
      <c r="E25" s="40">
        <f>'Sammanfattning och ändring jämf'!J24</f>
        <v>696607330.70358121</v>
      </c>
      <c r="F25" s="65">
        <f t="shared" si="0"/>
        <v>59486990.744098306</v>
      </c>
      <c r="G25" s="160">
        <f t="shared" si="3"/>
        <v>359.28821665950937</v>
      </c>
      <c r="H25" s="40">
        <f>'Sammanfattning och ändring jämf'!F24</f>
        <v>696006015.21021652</v>
      </c>
      <c r="I25" s="169">
        <f t="shared" si="1"/>
        <v>58885675.250733614</v>
      </c>
      <c r="J25" s="172">
        <f t="shared" si="2"/>
        <v>355.65640458499848</v>
      </c>
      <c r="N25" s="166"/>
      <c r="O25" s="207"/>
      <c r="AE25" s="164"/>
      <c r="AF25" s="164"/>
      <c r="AG25" s="164"/>
      <c r="AH25" s="164"/>
      <c r="AI25" s="164"/>
      <c r="AJ25" s="164"/>
      <c r="AK25" s="164"/>
      <c r="AL25" s="164"/>
    </row>
    <row r="26" spans="1:50" s="3" customFormat="1" x14ac:dyDescent="0.35">
      <c r="A26" s="133"/>
      <c r="B26" s="133" t="s">
        <v>67</v>
      </c>
      <c r="C26" s="206">
        <f>Bestämningsfaktorer!C19</f>
        <v>273283</v>
      </c>
      <c r="D26" s="63">
        <f>'Sammanfattning och ändring jämf'!D25</f>
        <v>974383968.66378939</v>
      </c>
      <c r="E26" s="40">
        <f>'Sammanfattning och ändring jämf'!J25</f>
        <v>1010628084.1008916</v>
      </c>
      <c r="F26" s="65">
        <f t="shared" si="0"/>
        <v>36244115.437102199</v>
      </c>
      <c r="G26" s="160">
        <f t="shared" si="3"/>
        <v>132.62484471080236</v>
      </c>
      <c r="H26" s="40">
        <f>'Sammanfattning och ändring jämf'!F25</f>
        <v>1009308501.5313184</v>
      </c>
      <c r="I26" s="65">
        <f t="shared" si="1"/>
        <v>34924532.867529035</v>
      </c>
      <c r="J26" s="172">
        <f t="shared" si="2"/>
        <v>127.79621442800699</v>
      </c>
      <c r="N26" s="166"/>
      <c r="O26" s="20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64"/>
      <c r="AF26" s="164"/>
      <c r="AG26" s="164"/>
      <c r="AH26" s="164"/>
      <c r="AI26" s="164"/>
      <c r="AJ26" s="164"/>
      <c r="AK26" s="164"/>
      <c r="AL26" s="164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x14ac:dyDescent="0.35">
      <c r="A27" s="133"/>
      <c r="B27" s="133" t="s">
        <v>460</v>
      </c>
      <c r="C27" s="206">
        <f>Bestämningsfaktorer!C20</f>
        <v>194316</v>
      </c>
      <c r="D27" s="63">
        <f>'Sammanfattning och ändring jämf'!D26</f>
        <v>775026529.93629229</v>
      </c>
      <c r="E27" s="40">
        <f>'Sammanfattning och ändring jämf'!J26</f>
        <v>766767360.92607307</v>
      </c>
      <c r="F27" s="65">
        <f t="shared" si="0"/>
        <v>-8259169.0102192163</v>
      </c>
      <c r="G27" s="160">
        <f t="shared" si="3"/>
        <v>-42.503803136227674</v>
      </c>
      <c r="H27" s="40">
        <f>'Sammanfattning och ändring jämf'!F26</f>
        <v>767218860.64326441</v>
      </c>
      <c r="I27" s="65">
        <f t="shared" si="1"/>
        <v>-7807669.2930278778</v>
      </c>
      <c r="J27" s="172">
        <f t="shared" si="2"/>
        <v>-40.180269730891318</v>
      </c>
      <c r="N27" s="166"/>
      <c r="O27" s="20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64"/>
      <c r="AF27" s="164"/>
      <c r="AG27" s="164"/>
      <c r="AH27" s="164"/>
      <c r="AI27" s="164"/>
      <c r="AJ27" s="164"/>
      <c r="AK27" s="164"/>
      <c r="AL27" s="164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x14ac:dyDescent="0.35">
      <c r="A28" s="133"/>
      <c r="B28" s="133" t="s">
        <v>71</v>
      </c>
      <c r="C28" s="206">
        <f>Bestämningsfaktorer!C21</f>
        <v>176193</v>
      </c>
      <c r="D28" s="63">
        <f>'Sammanfattning och ändring jämf'!D27</f>
        <v>660295248.95756221</v>
      </c>
      <c r="E28" s="40">
        <f>'Sammanfattning och ändring jämf'!J27</f>
        <v>631159251.32639253</v>
      </c>
      <c r="F28" s="65">
        <f t="shared" si="0"/>
        <v>-29135997.631169677</v>
      </c>
      <c r="G28" s="160">
        <f t="shared" si="3"/>
        <v>-165.36410431271207</v>
      </c>
      <c r="H28" s="40">
        <f>'Sammanfattning och ändring jämf'!F27</f>
        <v>630983656.58130491</v>
      </c>
      <c r="I28" s="65">
        <f t="shared" si="1"/>
        <v>-29311592.3762573</v>
      </c>
      <c r="J28" s="172">
        <f t="shared" si="2"/>
        <v>-166.36070886049561</v>
      </c>
      <c r="N28" s="166"/>
      <c r="O28" s="20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64"/>
      <c r="AF28" s="164"/>
      <c r="AG28" s="164"/>
      <c r="AH28" s="164"/>
      <c r="AI28" s="164"/>
      <c r="AJ28" s="164"/>
      <c r="AK28" s="164"/>
      <c r="AL28" s="164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x14ac:dyDescent="0.35">
      <c r="A29" s="133"/>
      <c r="B29" s="133" t="s">
        <v>73</v>
      </c>
      <c r="C29" s="206">
        <f>Bestämningsfaktorer!C22</f>
        <v>68437</v>
      </c>
      <c r="D29" s="63">
        <f>'Sammanfattning och ändring jämf'!D28</f>
        <v>265360297.1089825</v>
      </c>
      <c r="E29" s="40">
        <f>'Sammanfattning och ändring jämf'!J28</f>
        <v>261080272.09577739</v>
      </c>
      <c r="F29" s="65">
        <f t="shared" si="0"/>
        <v>-4280025.013205111</v>
      </c>
      <c r="G29" s="160">
        <f t="shared" si="3"/>
        <v>-62.539635185719874</v>
      </c>
      <c r="H29" s="40">
        <f>'Sammanfattning och ändring jämf'!F28</f>
        <v>261415502.81481269</v>
      </c>
      <c r="I29" s="65">
        <f t="shared" si="1"/>
        <v>-3944794.2941698134</v>
      </c>
      <c r="J29" s="172">
        <f t="shared" si="2"/>
        <v>-57.641250992442878</v>
      </c>
      <c r="N29" s="166"/>
      <c r="O29" s="20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64"/>
      <c r="AF29" s="164"/>
      <c r="AG29" s="164"/>
      <c r="AH29" s="164"/>
      <c r="AI29" s="164"/>
      <c r="AJ29" s="164"/>
      <c r="AK29" s="164"/>
      <c r="AL29" s="164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x14ac:dyDescent="0.35">
      <c r="A30" s="133"/>
      <c r="B30" s="133" t="s">
        <v>461</v>
      </c>
      <c r="C30" s="206">
        <f>Bestämningsfaktorer!C23</f>
        <v>412161</v>
      </c>
      <c r="D30" s="63">
        <f>'Sammanfattning och ändring jämf'!D29</f>
        <v>1485470764.1248934</v>
      </c>
      <c r="E30" s="40">
        <f>'Sammanfattning och ändring jämf'!J29</f>
        <v>1475867589.0438952</v>
      </c>
      <c r="F30" s="65">
        <f t="shared" si="0"/>
        <v>-9603175.0809981823</v>
      </c>
      <c r="G30" s="160">
        <f t="shared" si="3"/>
        <v>-23.299572451052338</v>
      </c>
      <c r="H30" s="40">
        <f>'Sammanfattning och ändring jämf'!F29</f>
        <v>1476116027.1614656</v>
      </c>
      <c r="I30" s="65">
        <f t="shared" si="1"/>
        <v>-9354736.9634277821</v>
      </c>
      <c r="J30" s="172">
        <f t="shared" si="2"/>
        <v>-22.696802859629567</v>
      </c>
      <c r="N30" s="166"/>
      <c r="O30" s="20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64"/>
      <c r="AF30" s="164"/>
      <c r="AG30" s="164"/>
      <c r="AH30" s="164"/>
      <c r="AI30" s="164"/>
      <c r="AJ30" s="164"/>
      <c r="AK30" s="164"/>
      <c r="AL30" s="16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x14ac:dyDescent="0.35">
      <c r="A31" s="133"/>
      <c r="B31" s="133" t="s">
        <v>77</v>
      </c>
      <c r="C31" s="206">
        <f>Bestämningsfaktorer!C24</f>
        <v>73061</v>
      </c>
      <c r="D31" s="63">
        <f>'Sammanfattning och ändring jämf'!D30</f>
        <v>337713737.93693793</v>
      </c>
      <c r="E31" s="40">
        <f>'Sammanfattning och ändring jämf'!J30</f>
        <v>322711904.349989</v>
      </c>
      <c r="F31" s="65">
        <f t="shared" si="0"/>
        <v>-15001833.586948931</v>
      </c>
      <c r="G31" s="160">
        <f t="shared" si="3"/>
        <v>-205.33299006239898</v>
      </c>
      <c r="H31" s="40">
        <f>'Sammanfattning och ändring jämf'!F30</f>
        <v>322965245.02853614</v>
      </c>
      <c r="I31" s="65">
        <f t="shared" si="1"/>
        <v>-14748492.908401787</v>
      </c>
      <c r="J31" s="172">
        <f t="shared" si="2"/>
        <v>-201.86546732732631</v>
      </c>
      <c r="N31" s="166"/>
      <c r="O31" s="20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64"/>
      <c r="AF31" s="164"/>
      <c r="AG31" s="164"/>
      <c r="AH31" s="164"/>
      <c r="AI31" s="164"/>
      <c r="AJ31" s="164"/>
      <c r="AK31" s="164"/>
      <c r="AL31" s="164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x14ac:dyDescent="0.35">
      <c r="A32" s="133"/>
      <c r="B32" s="133" t="s">
        <v>79</v>
      </c>
      <c r="C32" s="206">
        <f>Bestämningsfaktorer!C25</f>
        <v>178522</v>
      </c>
      <c r="D32" s="63">
        <f>'Sammanfattning och ändring jämf'!D31</f>
        <v>785250214.48139262</v>
      </c>
      <c r="E32" s="40">
        <f>'Sammanfattning och ändring jämf'!J31</f>
        <v>800072208.95911551</v>
      </c>
      <c r="F32" s="65">
        <f t="shared" si="0"/>
        <v>14821994.477722883</v>
      </c>
      <c r="G32" s="160">
        <f t="shared" si="3"/>
        <v>83.026150713765716</v>
      </c>
      <c r="H32" s="40">
        <f>'Sammanfattning och ändring jämf'!F31</f>
        <v>799920199.75537884</v>
      </c>
      <c r="I32" s="65">
        <f t="shared" si="1"/>
        <v>14669985.27398622</v>
      </c>
      <c r="J32" s="172">
        <f t="shared" si="2"/>
        <v>82.17466348117442</v>
      </c>
      <c r="N32" s="166"/>
      <c r="O32" s="20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64"/>
      <c r="AF32" s="164"/>
      <c r="AG32" s="164"/>
      <c r="AH32" s="164"/>
      <c r="AI32" s="164"/>
      <c r="AJ32" s="164"/>
      <c r="AK32" s="164"/>
      <c r="AL32" s="16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x14ac:dyDescent="0.35">
      <c r="B33" s="16" t="s">
        <v>35</v>
      </c>
      <c r="C33" s="81">
        <f>SUM(C11:C32)</f>
        <v>5488130</v>
      </c>
      <c r="D33" s="81">
        <f>SUM(D11:D32)</f>
        <v>19863294276.18</v>
      </c>
      <c r="E33" s="81">
        <f>SUM(E11:E32)</f>
        <v>19863294276.179996</v>
      </c>
      <c r="F33" s="160">
        <f>E33-D33</f>
        <v>0</v>
      </c>
      <c r="G33" s="160">
        <f t="shared" si="3"/>
        <v>0</v>
      </c>
      <c r="H33" s="81">
        <f>SUM(H11:H32)</f>
        <v>19863294276.18</v>
      </c>
      <c r="I33" s="16">
        <v>0</v>
      </c>
      <c r="J33" s="81">
        <v>0</v>
      </c>
      <c r="N33" s="10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64"/>
      <c r="AF33" s="166"/>
      <c r="AG33" s="166"/>
      <c r="AH33" s="166"/>
      <c r="AI33" s="166"/>
      <c r="AJ33" s="166"/>
      <c r="AK33" s="166"/>
      <c r="AL33" s="166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x14ac:dyDescent="0.35">
      <c r="B34" s="16"/>
      <c r="C34" s="16"/>
      <c r="H34" s="9"/>
      <c r="I34" s="40"/>
      <c r="N34" s="8"/>
      <c r="O34" s="8"/>
      <c r="P34" s="8"/>
      <c r="Q34" s="8"/>
      <c r="R34" s="8"/>
      <c r="S34" s="8"/>
      <c r="T34" s="8"/>
      <c r="U34" s="8"/>
      <c r="V34" s="8"/>
      <c r="W34" s="1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x14ac:dyDescent="0.35">
      <c r="B35" s="16"/>
      <c r="C35" s="16"/>
      <c r="H35" s="9"/>
      <c r="I35" s="40"/>
      <c r="N35" s="8"/>
      <c r="O35" s="8"/>
      <c r="P35" s="8"/>
      <c r="Q35" s="8"/>
      <c r="R35" s="8"/>
      <c r="S35" s="8"/>
      <c r="T35" s="8"/>
      <c r="U35" s="8"/>
      <c r="V35" s="8"/>
      <c r="W35" s="10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x14ac:dyDescent="0.35">
      <c r="A36" s="17" t="s">
        <v>462</v>
      </c>
      <c r="B36" s="23"/>
      <c r="C36" s="23"/>
      <c r="D36" s="23"/>
      <c r="E36" s="23"/>
      <c r="F36" s="23"/>
      <c r="G36" s="23"/>
      <c r="H36" s="23"/>
      <c r="I36" s="23"/>
      <c r="J36" s="23"/>
      <c r="N36" s="8"/>
      <c r="O36" s="8"/>
      <c r="P36" s="8"/>
      <c r="Q36" s="8"/>
      <c r="R36" s="8"/>
      <c r="S36" s="8"/>
      <c r="T36" s="8"/>
      <c r="U36" s="8"/>
      <c r="V36" s="8"/>
      <c r="W36" s="10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x14ac:dyDescent="0.35">
      <c r="A37" s="273" t="s">
        <v>22</v>
      </c>
      <c r="B37" s="273" t="s">
        <v>34</v>
      </c>
      <c r="C37" s="274" t="s">
        <v>463</v>
      </c>
      <c r="D37" s="274" t="s">
        <v>781</v>
      </c>
      <c r="E37" s="274" t="s">
        <v>782</v>
      </c>
      <c r="F37" s="274" t="s">
        <v>783</v>
      </c>
      <c r="G37" s="274" t="s">
        <v>784</v>
      </c>
      <c r="H37" s="275" t="s">
        <v>785</v>
      </c>
      <c r="I37" s="276" t="s">
        <v>786</v>
      </c>
      <c r="J37" s="274" t="s">
        <v>787</v>
      </c>
      <c r="N37" s="8"/>
      <c r="O37" s="8"/>
      <c r="P37" s="8"/>
      <c r="Q37" s="8"/>
      <c r="R37" s="8"/>
      <c r="S37" s="8"/>
      <c r="T37" s="8"/>
      <c r="U37" s="8"/>
      <c r="V37" s="8"/>
      <c r="W37" s="10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x14ac:dyDescent="0.35">
      <c r="B38" s="16"/>
      <c r="C38" s="229" t="s">
        <v>464</v>
      </c>
      <c r="D38" s="16">
        <v>0</v>
      </c>
      <c r="E38" s="16">
        <v>10</v>
      </c>
      <c r="F38" s="16">
        <v>30</v>
      </c>
      <c r="G38" s="16">
        <v>60</v>
      </c>
      <c r="H38" s="16">
        <v>90</v>
      </c>
      <c r="I38" s="16">
        <v>150</v>
      </c>
      <c r="J38" s="16">
        <v>200</v>
      </c>
      <c r="N38" s="8"/>
      <c r="O38" s="8"/>
      <c r="P38" s="8"/>
      <c r="Q38" s="8"/>
      <c r="R38" s="8"/>
      <c r="S38" s="8"/>
      <c r="T38" s="8"/>
      <c r="U38" s="8"/>
      <c r="V38" s="8"/>
      <c r="W38" s="10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3" customFormat="1" x14ac:dyDescent="0.35">
      <c r="A39" s="106"/>
      <c r="B39" s="106"/>
      <c r="C39" s="174" t="s">
        <v>465</v>
      </c>
      <c r="D39" s="213">
        <v>0</v>
      </c>
      <c r="E39" s="213">
        <v>-10</v>
      </c>
      <c r="F39" s="213">
        <v>-30</v>
      </c>
      <c r="G39" s="213">
        <v>-60</v>
      </c>
      <c r="H39" s="213">
        <v>-75</v>
      </c>
      <c r="I39" s="213">
        <v>-90</v>
      </c>
      <c r="J39" s="213">
        <v>-100</v>
      </c>
      <c r="N39" s="8"/>
      <c r="O39" s="8"/>
      <c r="P39" s="8"/>
      <c r="Q39" s="8"/>
      <c r="R39" s="8"/>
      <c r="S39" s="8"/>
      <c r="T39" s="8"/>
      <c r="U39" s="8"/>
      <c r="V39" s="8"/>
      <c r="W39" s="10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3" customFormat="1" x14ac:dyDescent="0.35">
      <c r="A40" s="205"/>
      <c r="B40" s="100" t="s">
        <v>37</v>
      </c>
      <c r="C40" s="158">
        <f>Bestämningsfaktorer!C4</f>
        <v>648042</v>
      </c>
      <c r="D40" s="214">
        <f t="shared" ref="D40:D61" si="4">G11*-1</f>
        <v>62.146774810490292</v>
      </c>
      <c r="E40" s="214">
        <f>IF(Övergångsperiod!$G11&lt;E$39,-Övergångsperiod!$G11+E$39,IF(Övergångsperiod!$G11&gt;E$38,E$38-Övergångsperiod!$G11,0))</f>
        <v>52.146774810490292</v>
      </c>
      <c r="F40" s="214">
        <f>IF(Övergångsperiod!$G11&lt;F$39,-Övergångsperiod!$G11+F$39,IF(Övergångsperiod!$G11&gt;F$38,F$38-Övergångsperiod!$G11,0))</f>
        <v>32.146774810490292</v>
      </c>
      <c r="G40" s="214">
        <f>IF(Övergångsperiod!$J11&lt;G$39,-Övergångsperiod!$J11+G$39,IF(Övergångsperiod!$J11&gt;G$38,G$38-Övergångsperiod!$J11,0))</f>
        <v>0.24877158977356117</v>
      </c>
      <c r="H40" s="214">
        <f>IF(Övergångsperiod!$J11&lt;H$39,-Övergångsperiod!$J11+H$39,IF(Övergångsperiod!$J11&gt;H$38,H$38-Övergångsperiod!$J11,0))</f>
        <v>0</v>
      </c>
      <c r="I40" s="214">
        <f>IF(Övergångsperiod!$J11&lt;I$39,-Övergångsperiod!$J11+I$39,IF(Övergångsperiod!$J11&gt;I$38,I$38-Övergångsperiod!$J11,0))</f>
        <v>0</v>
      </c>
      <c r="J40" s="214">
        <f>IF(Övergångsperiod!$J11&lt;J$39,-Övergångsperiod!$J11+J$39,IF(Övergångsperiod!$J11&gt;J$38,J$38-Övergångsperiod!$J11,0))</f>
        <v>0</v>
      </c>
      <c r="K40" s="214"/>
      <c r="N40" s="8"/>
      <c r="O40" s="8"/>
      <c r="P40" s="8"/>
      <c r="Q40" s="8"/>
      <c r="R40" s="8"/>
      <c r="S40" s="8"/>
      <c r="T40" s="8"/>
      <c r="U40" s="8"/>
      <c r="V40" s="8"/>
      <c r="W40" s="10"/>
      <c r="X40" s="215"/>
      <c r="Y40" s="215"/>
      <c r="Z40" s="215"/>
      <c r="AA40" s="215"/>
      <c r="AB40" s="215"/>
      <c r="AC40" s="215"/>
      <c r="AD40" s="215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3" customFormat="1" x14ac:dyDescent="0.35">
      <c r="A41" s="205"/>
      <c r="B41" s="100" t="s">
        <v>459</v>
      </c>
      <c r="C41" s="158">
        <f>Bestämningsfaktorer!C5</f>
        <v>264420</v>
      </c>
      <c r="D41" s="214">
        <f t="shared" si="4"/>
        <v>-43.24881196918966</v>
      </c>
      <c r="E41" s="214">
        <f>IF(Övergångsperiod!$G12&lt;E$39,-Övergångsperiod!$G12+E$39,IF(Övergångsperiod!$G12&gt;E$38,E$38-Övergångsperiod!$G12,0))</f>
        <v>-33.24881196918966</v>
      </c>
      <c r="F41" s="214">
        <f>IF(Övergångsperiod!$G12&lt;F$39,-Övergångsperiod!$G12+F$39,IF(Övergångsperiod!$G12&gt;F$38,F$38-Övergångsperiod!$G12,0))</f>
        <v>-13.24881196918966</v>
      </c>
      <c r="G41" s="214">
        <f>IF(Övergångsperiod!$J12&lt;G$39,-Övergångsperiod!$J12+G$39,IF(Övergångsperiod!$J12&gt;G$38,G$38-Övergångsperiod!$J12,0))</f>
        <v>0</v>
      </c>
      <c r="H41" s="214">
        <f>IF(Övergångsperiod!$J12&lt;H$39,-Övergångsperiod!$J12+H$39,IF(Övergångsperiod!$J12&gt;H$38,H$38-Övergångsperiod!$J12,0))</f>
        <v>0</v>
      </c>
      <c r="I41" s="214">
        <f>IF(Övergångsperiod!$J12&lt;I$39,-Övergångsperiod!$J12+I$39,IF(Övergångsperiod!$J12&gt;I$38,I$38-Övergångsperiod!$J12,0))</f>
        <v>0</v>
      </c>
      <c r="J41" s="214">
        <f>IF(Övergångsperiod!$J12&lt;J$39,-Övergångsperiod!$J12+J$39,IF(Övergångsperiod!$J12&gt;J$38,J$38-Övergångsperiod!$J12,0))</f>
        <v>0</v>
      </c>
      <c r="N41" s="8"/>
      <c r="O41" s="8"/>
      <c r="P41" s="8"/>
      <c r="Q41" s="8"/>
      <c r="R41" s="8"/>
      <c r="S41" s="8"/>
      <c r="T41" s="8"/>
      <c r="U41" s="8"/>
      <c r="V41" s="8"/>
      <c r="W41" s="10"/>
      <c r="X41" s="215"/>
      <c r="Y41" s="215"/>
      <c r="Z41" s="215"/>
      <c r="AA41" s="215"/>
      <c r="AB41" s="215"/>
      <c r="AC41" s="215"/>
      <c r="AD41" s="215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3" customFormat="1" x14ac:dyDescent="0.35">
      <c r="A42" s="205"/>
      <c r="B42" s="100" t="s">
        <v>41</v>
      </c>
      <c r="C42" s="158">
        <f>Bestämningsfaktorer!C6</f>
        <v>464302</v>
      </c>
      <c r="D42" s="214">
        <f t="shared" si="4"/>
        <v>100.71762365708157</v>
      </c>
      <c r="E42" s="214">
        <f>IF(Övergångsperiod!$G13&lt;E$39,-Övergångsperiod!$G13+E$39,IF(Övergångsperiod!$G13&gt;E$38,E$38-Övergångsperiod!$G13,0))</f>
        <v>90.717623657081575</v>
      </c>
      <c r="F42" s="214">
        <f>IF(Övergångsperiod!$G13&lt;F$39,-Övergångsperiod!$G13+F$39,IF(Övergångsperiod!$G13&gt;F$38,F$38-Övergångsperiod!$G13,0))</f>
        <v>70.717623657081575</v>
      </c>
      <c r="G42" s="214">
        <f>IF(Övergångsperiod!$J13&lt;G$39,-Övergångsperiod!$J13+G$39,IF(Övergångsperiod!$J13&gt;G$38,G$38-Övergångsperiod!$J13,0))</f>
        <v>42.505151841413621</v>
      </c>
      <c r="H42" s="214">
        <f>IF(Övergångsperiod!$J13&lt;H$39,-Övergångsperiod!$J13+H$39,IF(Övergångsperiod!$J13&gt;H$38,H$38-Övergångsperiod!$J13,0))</f>
        <v>27.505151841413621</v>
      </c>
      <c r="I42" s="214">
        <f>IF(Övergångsperiod!$J13&lt;I$39,-Övergångsperiod!$J13+I$39,IF(Övergångsperiod!$J13&gt;I$38,I$38-Övergångsperiod!$J13,0))</f>
        <v>12.505151841413621</v>
      </c>
      <c r="J42" s="214">
        <f>IF(Övergångsperiod!$J13&lt;J$39,-Övergångsperiod!$J13+J$39,IF(Övergångsperiod!$J13&gt;J$38,J$38-Övergångsperiod!$J13,0))</f>
        <v>2.5051518414136211</v>
      </c>
      <c r="N42" s="8"/>
      <c r="O42" s="8"/>
      <c r="P42" s="8"/>
      <c r="Q42" s="8"/>
      <c r="R42" s="8"/>
      <c r="S42" s="8"/>
      <c r="T42" s="8"/>
      <c r="U42" s="8"/>
      <c r="V42" s="8"/>
      <c r="W42" s="10"/>
      <c r="X42" s="215"/>
      <c r="Y42" s="215"/>
      <c r="Z42" s="215"/>
      <c r="AA42" s="215"/>
      <c r="AB42" s="215"/>
      <c r="AC42" s="215"/>
      <c r="AD42" s="215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3" customFormat="1" x14ac:dyDescent="0.35">
      <c r="A43" s="205"/>
      <c r="B43" s="100" t="s">
        <v>43</v>
      </c>
      <c r="C43" s="158">
        <f>Bestämningsfaktorer!C7</f>
        <v>97263</v>
      </c>
      <c r="D43" s="214">
        <f t="shared" si="4"/>
        <v>-172.49526517073372</v>
      </c>
      <c r="E43" s="214">
        <f>IF(Övergångsperiod!$G14&lt;E$39,-Övergångsperiod!$G14+E$39,IF(Övergångsperiod!$G14&gt;E$38,E$38-Övergångsperiod!$G14,0))</f>
        <v>-162.49526517073372</v>
      </c>
      <c r="F43" s="214">
        <f>IF(Övergångsperiod!$G14&lt;F$39,-Övergångsperiod!$G14+F$39,IF(Övergångsperiod!$G14&gt;F$38,F$38-Övergångsperiod!$G14,0))</f>
        <v>-142.49526517073372</v>
      </c>
      <c r="G43" s="214">
        <f>IF(Övergångsperiod!$J14&lt;G$39,-Övergångsperiod!$J14+G$39,IF(Övergångsperiod!$J14&gt;G$38,G$38-Övergångsperiod!$J14,0))</f>
        <v>-117.0357115142491</v>
      </c>
      <c r="H43" s="214">
        <f>IF(Övergångsperiod!$J14&lt;H$39,-Övergångsperiod!$J14+H$39,IF(Övergångsperiod!$J14&gt;H$38,H$38-Övergångsperiod!$J14,0))</f>
        <v>-87.035711514249101</v>
      </c>
      <c r="I43" s="214">
        <f>IF(Övergångsperiod!$J14&lt;I$39,-Övergångsperiod!$J14+I$39,IF(Övergångsperiod!$J14&gt;I$38,I$38-Övergångsperiod!$J14,0))</f>
        <v>-27.035711514249101</v>
      </c>
      <c r="J43" s="214">
        <f>IF(Övergångsperiod!$J14&lt;J$39,-Övergångsperiod!$J14+J$39,IF(Övergångsperiod!$J14&gt;J$38,J$38-Övergångsperiod!$J14,0))</f>
        <v>0</v>
      </c>
      <c r="N43" s="8"/>
      <c r="O43" s="8"/>
      <c r="P43" s="8"/>
      <c r="Q43" s="8"/>
      <c r="R43" s="8"/>
      <c r="S43" s="8"/>
      <c r="T43" s="8"/>
      <c r="U43" s="8"/>
      <c r="V43" s="8"/>
      <c r="W43" s="10"/>
      <c r="X43" s="215"/>
      <c r="Y43" s="215"/>
      <c r="Z43" s="215"/>
      <c r="AA43" s="215"/>
      <c r="AB43" s="215"/>
      <c r="AC43" s="215"/>
      <c r="AD43" s="215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3" customFormat="1" x14ac:dyDescent="0.35">
      <c r="A44" s="208"/>
      <c r="B44" s="103" t="s">
        <v>45</v>
      </c>
      <c r="C44" s="158">
        <f>Bestämningsfaktorer!C8</f>
        <v>196997</v>
      </c>
      <c r="D44" s="165">
        <f t="shared" si="4"/>
        <v>215.76605073286973</v>
      </c>
      <c r="E44" s="214">
        <f>IF(Övergångsperiod!$G15&lt;E$39,-Övergångsperiod!$G15+E$39,IF(Övergångsperiod!$G15&gt;E$38,E$38-Övergångsperiod!$G15,0))</f>
        <v>205.76605073286973</v>
      </c>
      <c r="F44" s="214">
        <f>IF(Övergångsperiod!$G15&lt;F$39,-Övergångsperiod!$G15+F$39,IF(Övergångsperiod!$G15&gt;F$38,F$38-Övergångsperiod!$G15,0))</f>
        <v>185.76605073286973</v>
      </c>
      <c r="G44" s="214">
        <f>IF(Övergångsperiod!$J15&lt;G$39,-Övergångsperiod!$J15+G$39,IF(Övergångsperiod!$J15&gt;G$38,G$38-Övergångsperiod!$J15,0))</f>
        <v>153.17892655476047</v>
      </c>
      <c r="H44" s="214">
        <f>IF(Övergångsperiod!$J15&lt;H$39,-Övergångsperiod!$J15+H$39,IF(Övergångsperiod!$J15&gt;H$38,H$38-Övergångsperiod!$J15,0))</f>
        <v>138.17892655476047</v>
      </c>
      <c r="I44" s="214">
        <f>IF(Övergångsperiod!$J15&lt;I$39,-Övergångsperiod!$J15+I$39,IF(Övergångsperiod!$J15&gt;I$38,I$38-Övergångsperiod!$J15,0))</f>
        <v>123.17892655476047</v>
      </c>
      <c r="J44" s="214">
        <f>IF(Övergångsperiod!$J15&lt;J$39,-Övergångsperiod!$J15+J$39,IF(Övergångsperiod!$J15&gt;J$38,J$38-Övergångsperiod!$J15,0))</f>
        <v>113.17892655476047</v>
      </c>
      <c r="N44" s="8"/>
      <c r="O44" s="8"/>
      <c r="P44" s="8"/>
      <c r="Q44" s="8"/>
      <c r="R44" s="8"/>
      <c r="S44" s="8"/>
      <c r="T44" s="8"/>
      <c r="U44" s="8"/>
      <c r="V44" s="8"/>
      <c r="W44" s="10"/>
      <c r="X44" s="215"/>
      <c r="Y44" s="215"/>
      <c r="Z44" s="215"/>
      <c r="AA44" s="215"/>
      <c r="AB44" s="215"/>
      <c r="AC44" s="215"/>
      <c r="AD44" s="215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3" customFormat="1" x14ac:dyDescent="0.35">
      <c r="A45" s="133"/>
      <c r="B45" s="133" t="s">
        <v>47</v>
      </c>
      <c r="C45" s="158">
        <f>Bestämningsfaktorer!C9</f>
        <v>478582</v>
      </c>
      <c r="D45" s="214">
        <f t="shared" si="4"/>
        <v>-69.775731923195664</v>
      </c>
      <c r="E45" s="214">
        <f>IF(Övergångsperiod!$G16&lt;E$39,-Övergångsperiod!$G16+E$39,IF(Övergångsperiod!$G16&gt;E$38,E$38-Övergångsperiod!$G16,0))</f>
        <v>-59.775731923195664</v>
      </c>
      <c r="F45" s="214">
        <f>IF(Övergångsperiod!$G16&lt;F$39,-Övergångsperiod!$G16+F$39,IF(Övergångsperiod!$G16&gt;F$38,F$38-Övergångsperiod!$G16,0))</f>
        <v>-39.775731923195664</v>
      </c>
      <c r="G45" s="214">
        <f>IF(Övergångsperiod!$J16&lt;G$39,-Övergångsperiod!$J16+G$39,IF(Övergångsperiod!$J16&gt;G$38,G$38-Övergångsperiod!$J16,0))</f>
        <v>-6.0735483312198681</v>
      </c>
      <c r="H45" s="214">
        <f>IF(Övergångsperiod!$J16&lt;H$39,-Övergångsperiod!$J16+H$39,IF(Övergångsperiod!$J16&gt;H$38,H$38-Övergångsperiod!$J16,0))</f>
        <v>0</v>
      </c>
      <c r="I45" s="214">
        <f>IF(Övergångsperiod!$J16&lt;I$39,-Övergångsperiod!$J16+I$39,IF(Övergångsperiod!$J16&gt;I$38,I$38-Övergångsperiod!$J16,0))</f>
        <v>0</v>
      </c>
      <c r="J45" s="214">
        <f>IF(Övergångsperiod!$J16&lt;J$39,-Övergångsperiod!$J16+J$39,IF(Övergångsperiod!$J16&gt;J$38,J$38-Övergångsperiod!$J16,0))</f>
        <v>0</v>
      </c>
      <c r="N45" s="8"/>
      <c r="O45" s="8"/>
      <c r="P45" s="8"/>
      <c r="Q45" s="8"/>
      <c r="R45" s="8"/>
      <c r="S45" s="8"/>
      <c r="T45" s="8"/>
      <c r="U45" s="8"/>
      <c r="V45" s="8"/>
      <c r="W45" s="10"/>
      <c r="X45" s="215"/>
      <c r="Y45" s="215"/>
      <c r="Z45" s="215"/>
      <c r="AA45" s="215"/>
      <c r="AB45" s="215"/>
      <c r="AC45" s="215"/>
      <c r="AD45" s="215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3" customFormat="1" x14ac:dyDescent="0.35">
      <c r="A46" s="133"/>
      <c r="B46" s="133" t="s">
        <v>49</v>
      </c>
      <c r="C46" s="158">
        <f>Bestämningsfaktorer!C10</f>
        <v>218624</v>
      </c>
      <c r="D46" s="214">
        <f t="shared" si="4"/>
        <v>31.209411100239059</v>
      </c>
      <c r="E46" s="214">
        <f>IF(Övergångsperiod!$G17&lt;E$39,-Övergångsperiod!$G17+E$39,IF(Övergångsperiod!$G17&gt;E$38,E$38-Övergångsperiod!$G17,0))</f>
        <v>21.209411100239059</v>
      </c>
      <c r="F46" s="214">
        <f>IF(Övergångsperiod!$G17&lt;F$39,-Övergångsperiod!$G17+F$39,IF(Övergångsperiod!$G17&gt;F$38,F$38-Övergångsperiod!$G17,0))</f>
        <v>1.2094111002390591</v>
      </c>
      <c r="G46" s="214">
        <f>IF(Övergångsperiod!$J17&lt;G$39,-Övergångsperiod!$J17+G$39,IF(Övergångsperiod!$J17&gt;G$38,G$38-Övergångsperiod!$J17,0))</f>
        <v>0</v>
      </c>
      <c r="H46" s="214">
        <f>IF(Övergångsperiod!$J17&lt;H$39,-Övergångsperiod!$J17+H$39,IF(Övergångsperiod!$J17&gt;H$38,H$38-Övergångsperiod!$J17,0))</f>
        <v>0</v>
      </c>
      <c r="I46" s="214">
        <f>IF(Övergångsperiod!$J17&lt;I$39,-Övergångsperiod!$J17+I$39,IF(Övergångsperiod!$J17&gt;I$38,I$38-Övergångsperiod!$J17,0))</f>
        <v>0</v>
      </c>
      <c r="J46" s="214">
        <f>IF(Övergångsperiod!$J17&lt;J$39,-Övergångsperiod!$J17+J$39,IF(Övergångsperiod!$J17&gt;J$38,J$38-Övergångsperiod!$J17,0))</f>
        <v>0</v>
      </c>
      <c r="N46" s="8"/>
      <c r="O46" s="8"/>
      <c r="P46" s="8"/>
      <c r="Q46" s="8"/>
      <c r="R46" s="8"/>
      <c r="S46" s="8"/>
      <c r="T46" s="8"/>
      <c r="U46" s="8"/>
      <c r="V46" s="8"/>
      <c r="W46" s="10"/>
      <c r="X46" s="215"/>
      <c r="Y46" s="215"/>
      <c r="Z46" s="215"/>
      <c r="AA46" s="215"/>
      <c r="AB46" s="215"/>
      <c r="AC46" s="215"/>
      <c r="AD46" s="215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3" customFormat="1" x14ac:dyDescent="0.35">
      <c r="A47" s="133"/>
      <c r="B47" s="133" t="s">
        <v>51</v>
      </c>
      <c r="C47" s="158">
        <f>Bestämningsfaktorer!C11</f>
        <v>171364</v>
      </c>
      <c r="D47" s="214">
        <f t="shared" si="4"/>
        <v>-83.857682994717834</v>
      </c>
      <c r="E47" s="214">
        <f>IF(Övergångsperiod!$G18&lt;E$39,-Övergångsperiod!$G18+E$39,IF(Övergångsperiod!$G18&gt;E$38,E$38-Övergångsperiod!$G18,0))</f>
        <v>-73.857682994717834</v>
      </c>
      <c r="F47" s="214">
        <f>IF(Övergångsperiod!$G18&lt;F$39,-Övergångsperiod!$G18+F$39,IF(Övergångsperiod!$G18&gt;F$38,F$38-Övergångsperiod!$G18,0))</f>
        <v>-53.857682994717834</v>
      </c>
      <c r="G47" s="214">
        <f>IF(Övergångsperiod!$J18&lt;G$39,-Övergångsperiod!$J18+G$39,IF(Övergångsperiod!$J18&gt;G$38,G$38-Övergångsperiod!$J18,0))</f>
        <v>-20.492159037898645</v>
      </c>
      <c r="H47" s="214">
        <f>IF(Övergångsperiod!$J18&lt;H$39,-Övergångsperiod!$J18+H$39,IF(Övergångsperiod!$J18&gt;H$38,H$38-Övergångsperiod!$J18,0))</f>
        <v>0</v>
      </c>
      <c r="I47" s="214">
        <f>IF(Övergångsperiod!$J18&lt;I$39,-Övergångsperiod!$J18+I$39,IF(Övergångsperiod!$J18&gt;I$38,I$38-Övergångsperiod!$J18,0))</f>
        <v>0</v>
      </c>
      <c r="J47" s="214">
        <f>IF(Övergångsperiod!$J18&lt;J$39,-Övergångsperiod!$J18+J$39,IF(Övergångsperiod!$J18&gt;J$38,J$38-Övergångsperiod!$J18,0))</f>
        <v>0</v>
      </c>
      <c r="N47" s="8"/>
      <c r="O47" s="8"/>
      <c r="P47" s="8"/>
      <c r="Q47" s="8"/>
      <c r="R47" s="8"/>
      <c r="S47" s="8"/>
      <c r="T47" s="8"/>
      <c r="U47" s="8"/>
      <c r="V47" s="8"/>
      <c r="W47" s="10"/>
      <c r="X47" s="215"/>
      <c r="Y47" s="215"/>
      <c r="Z47" s="215"/>
      <c r="AA47" s="215"/>
      <c r="AB47" s="215"/>
      <c r="AC47" s="215"/>
      <c r="AD47" s="215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3" customFormat="1" x14ac:dyDescent="0.35">
      <c r="A48" s="133"/>
      <c r="B48" s="133" t="s">
        <v>53</v>
      </c>
      <c r="C48" s="158">
        <f>Bestämningsfaktorer!C12</f>
        <v>517333</v>
      </c>
      <c r="D48" s="214">
        <f t="shared" si="4"/>
        <v>-31.006000424565208</v>
      </c>
      <c r="E48" s="214">
        <f>IF(Övergångsperiod!$G19&lt;E$39,-Övergångsperiod!$G19+E$39,IF(Övergångsperiod!$G19&gt;E$38,E$38-Övergångsperiod!$G19,0))</f>
        <v>-21.006000424565208</v>
      </c>
      <c r="F48" s="214">
        <f>IF(Övergångsperiod!$G19&lt;F$39,-Övergångsperiod!$G19+F$39,IF(Övergångsperiod!$G19&gt;F$38,F$38-Övergångsperiod!$G19,0))</f>
        <v>-1.0060004245652081</v>
      </c>
      <c r="G48" s="214">
        <f>IF(Övergångsperiod!$J19&lt;G$39,-Övergångsperiod!$J19+G$39,IF(Övergångsperiod!$J19&gt;G$38,G$38-Övergångsperiod!$J19,0))</f>
        <v>0</v>
      </c>
      <c r="H48" s="214">
        <f>IF(Övergångsperiod!$J19&lt;H$39,-Övergångsperiod!$J19+H$39,IF(Övergångsperiod!$J19&gt;H$38,H$38-Övergångsperiod!$J19,0))</f>
        <v>0</v>
      </c>
      <c r="I48" s="214">
        <f>IF(Övergångsperiod!$J19&lt;I$39,-Övergångsperiod!$J19+I$39,IF(Övergångsperiod!$J19&gt;I$38,I$38-Övergångsperiod!$J19,0))</f>
        <v>0</v>
      </c>
      <c r="J48" s="214">
        <f>IF(Övergångsperiod!$J19&lt;J$39,-Övergångsperiod!$J19+J$39,IF(Övergångsperiod!$J19&gt;J$38,J$38-Övergångsperiod!$J19,0))</f>
        <v>0</v>
      </c>
      <c r="N48" s="8"/>
      <c r="O48" s="8"/>
      <c r="P48" s="8"/>
      <c r="Q48" s="8"/>
      <c r="R48" s="8"/>
      <c r="S48" s="8"/>
      <c r="T48" s="8"/>
      <c r="U48" s="8"/>
      <c r="V48" s="8"/>
      <c r="W48" s="10"/>
      <c r="X48" s="215"/>
      <c r="Y48" s="215"/>
      <c r="Z48" s="215"/>
      <c r="AA48" s="215"/>
      <c r="AB48" s="215"/>
      <c r="AC48" s="215"/>
      <c r="AD48" s="215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3" customFormat="1" x14ac:dyDescent="0.35">
      <c r="A49" s="133"/>
      <c r="B49" s="133" t="s">
        <v>55</v>
      </c>
      <c r="C49" s="158">
        <f>Bestämningsfaktorer!C13</f>
        <v>207394</v>
      </c>
      <c r="D49" s="214">
        <f t="shared" si="4"/>
        <v>-153.82523002525946</v>
      </c>
      <c r="E49" s="214">
        <f>IF(Övergångsperiod!$G20&lt;E$39,-Övergångsperiod!$G20+E$39,IF(Övergångsperiod!$G20&gt;E$38,E$38-Övergångsperiod!$G20,0))</f>
        <v>-143.82523002525946</v>
      </c>
      <c r="F49" s="214">
        <f>IF(Övergångsperiod!$G20&lt;F$39,-Övergångsperiod!$G20+F$39,IF(Övergångsperiod!$G20&gt;F$38,F$38-Övergångsperiod!$G20,0))</f>
        <v>-123.82523002525946</v>
      </c>
      <c r="G49" s="214">
        <f>IF(Övergångsperiod!$J20&lt;G$39,-Övergångsperiod!$J20+G$39,IF(Övergångsperiod!$J20&gt;G$38,G$38-Övergångsperiod!$J20,0))</f>
        <v>-86.831878970997394</v>
      </c>
      <c r="H49" s="214">
        <f>IF(Övergångsperiod!$J20&lt;H$39,-Övergångsperiod!$J20+H$39,IF(Övergångsperiod!$J20&gt;H$38,H$38-Övergångsperiod!$J20,0))</f>
        <v>-56.831878970997394</v>
      </c>
      <c r="I49" s="214">
        <f>IF(Övergångsperiod!$J20&lt;I$39,-Övergångsperiod!$J20+I$39,IF(Övergångsperiod!$J20&gt;I$38,I$38-Övergångsperiod!$J20,0))</f>
        <v>0</v>
      </c>
      <c r="J49" s="214">
        <f>IF(Övergångsperiod!$J20&lt;J$39,-Övergångsperiod!$J20+J$39,IF(Övergångsperiod!$J20&gt;J$38,J$38-Övergångsperiod!$J20,0))</f>
        <v>0</v>
      </c>
      <c r="N49" s="8"/>
      <c r="O49" s="8"/>
      <c r="P49" s="8"/>
      <c r="Q49" s="8"/>
      <c r="R49" s="8"/>
      <c r="S49" s="8"/>
      <c r="T49" s="8"/>
      <c r="U49" s="8"/>
      <c r="V49" s="8"/>
      <c r="W49" s="10"/>
      <c r="X49" s="215"/>
      <c r="Y49" s="215"/>
      <c r="Z49" s="215"/>
      <c r="AA49" s="215"/>
      <c r="AB49" s="215"/>
      <c r="AC49" s="215"/>
      <c r="AD49" s="215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3" customFormat="1" x14ac:dyDescent="0.35">
      <c r="A50" s="133"/>
      <c r="B50" s="133" t="s">
        <v>57</v>
      </c>
      <c r="C50" s="158">
        <f>Bestämningsfaktorer!C14</f>
        <v>166623</v>
      </c>
      <c r="D50" s="214">
        <f t="shared" si="4"/>
        <v>110.46587688453423</v>
      </c>
      <c r="E50" s="214">
        <f>IF(Övergångsperiod!$G21&lt;E$39,-Övergångsperiod!$G21+E$39,IF(Övergångsperiod!$G21&gt;E$38,E$38-Övergångsperiod!$G21,0))</f>
        <v>100.46587688453423</v>
      </c>
      <c r="F50" s="214">
        <f>IF(Övergångsperiod!$G21&lt;F$39,-Övergångsperiod!$G21+F$39,IF(Övergångsperiod!$G21&gt;F$38,F$38-Övergångsperiod!$G21,0))</f>
        <v>80.465876884534225</v>
      </c>
      <c r="G50" s="214">
        <f>IF(Övergångsperiod!$J21&lt;G$39,-Övergångsperiod!$J21+G$39,IF(Övergångsperiod!$J21&gt;G$38,G$38-Övergångsperiod!$J21,0))</f>
        <v>49.875846087701134</v>
      </c>
      <c r="H50" s="214">
        <f>IF(Övergångsperiod!$J21&lt;H$39,-Övergångsperiod!$J21+H$39,IF(Övergångsperiod!$J21&gt;H$38,H$38-Övergångsperiod!$J21,0))</f>
        <v>34.875846087701134</v>
      </c>
      <c r="I50" s="214">
        <f>IF(Övergångsperiod!$J21&lt;I$39,-Övergångsperiod!$J21+I$39,IF(Övergångsperiod!$J21&gt;I$38,I$38-Övergångsperiod!$J21,0))</f>
        <v>19.875846087701134</v>
      </c>
      <c r="J50" s="214">
        <f>IF(Övergångsperiod!$J21&lt;J$39,-Övergångsperiod!$J21+J$39,IF(Övergångsperiod!$J21&gt;J$38,J$38-Övergångsperiod!$J21,0))</f>
        <v>9.8758460877011345</v>
      </c>
      <c r="N50" s="8"/>
      <c r="O50" s="8"/>
      <c r="P50" s="8"/>
      <c r="Q50" s="8"/>
      <c r="R50" s="8"/>
      <c r="S50" s="8"/>
      <c r="T50" s="8"/>
      <c r="U50" s="8"/>
      <c r="V50" s="8"/>
      <c r="W50" s="10"/>
      <c r="X50" s="215"/>
      <c r="Y50" s="215"/>
      <c r="Z50" s="215"/>
      <c r="AA50" s="215"/>
      <c r="AB50" s="215"/>
      <c r="AC50" s="215"/>
      <c r="AD50" s="215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s="3" customFormat="1" x14ac:dyDescent="0.35">
      <c r="A51" s="133"/>
      <c r="B51" s="133" t="s">
        <v>59</v>
      </c>
      <c r="C51" s="158">
        <f>Bestämningsfaktorer!C15</f>
        <v>128756</v>
      </c>
      <c r="D51" s="214">
        <f t="shared" si="4"/>
        <v>-103.55207792947175</v>
      </c>
      <c r="E51" s="214">
        <f>IF(Övergångsperiod!$G22&lt;E$39,-Övergångsperiod!$G22+E$39,IF(Övergångsperiod!$G22&gt;E$38,E$38-Övergångsperiod!$G22,0))</f>
        <v>-93.55207792947175</v>
      </c>
      <c r="F51" s="214">
        <f>IF(Övergångsperiod!$G22&lt;F$39,-Övergångsperiod!$G22+F$39,IF(Övergångsperiod!$G22&gt;F$38,F$38-Övergångsperiod!$G22,0))</f>
        <v>-73.55207792947175</v>
      </c>
      <c r="G51" s="214">
        <f>IF(Övergångsperiod!$J22&lt;G$39,-Övergångsperiod!$J22+G$39,IF(Övergångsperiod!$J22&gt;G$38,G$38-Övergångsperiod!$J22,0))</f>
        <v>-41.913286472561509</v>
      </c>
      <c r="H51" s="214">
        <f>IF(Övergångsperiod!$J22&lt;H$39,-Övergångsperiod!$J22+H$39,IF(Övergångsperiod!$J22&gt;H$38,H$38-Övergångsperiod!$J22,0))</f>
        <v>-11.913286472561509</v>
      </c>
      <c r="I51" s="214">
        <f>IF(Övergångsperiod!$J22&lt;I$39,-Övergångsperiod!$J22+I$39,IF(Övergångsperiod!$J22&gt;I$38,I$38-Övergångsperiod!$J22,0))</f>
        <v>0</v>
      </c>
      <c r="J51" s="214">
        <f>IF(Övergångsperiod!$J22&lt;J$39,-Övergångsperiod!$J22+J$39,IF(Övergångsperiod!$J22&gt;J$38,J$38-Övergångsperiod!$J22,0))</f>
        <v>0</v>
      </c>
      <c r="N51" s="8"/>
      <c r="O51" s="8"/>
      <c r="P51" s="8"/>
      <c r="Q51" s="8"/>
      <c r="R51" s="8"/>
      <c r="S51" s="8"/>
      <c r="T51" s="8"/>
      <c r="U51" s="8"/>
      <c r="V51" s="8"/>
      <c r="W51" s="10"/>
      <c r="X51" s="215"/>
      <c r="Y51" s="215"/>
      <c r="Z51" s="215"/>
      <c r="AA51" s="215"/>
      <c r="AB51" s="215"/>
      <c r="AC51" s="215"/>
      <c r="AD51" s="215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s="3" customFormat="1" x14ac:dyDescent="0.35">
      <c r="A52" s="133"/>
      <c r="B52" s="133" t="s">
        <v>61</v>
      </c>
      <c r="C52" s="158">
        <f>Bestämningsfaktorer!C16</f>
        <v>136474</v>
      </c>
      <c r="D52" s="214">
        <f t="shared" si="4"/>
        <v>100.63260689898431</v>
      </c>
      <c r="E52" s="214">
        <f>IF(Övergångsperiod!$G23&lt;E$39,-Övergångsperiod!$G23+E$39,IF(Övergångsperiod!$G23&gt;E$38,E$38-Övergångsperiod!$G23,0))</f>
        <v>90.632606898984307</v>
      </c>
      <c r="F52" s="214">
        <f>IF(Övergångsperiod!$G23&lt;F$39,-Övergångsperiod!$G23+F$39,IF(Övergångsperiod!$G23&gt;F$38,F$38-Övergångsperiod!$G23,0))</f>
        <v>70.632606898984307</v>
      </c>
      <c r="G52" s="214">
        <f>IF(Övergångsperiod!$J23&lt;G$39,-Övergångsperiod!$J23+G$39,IF(Övergångsperiod!$J23&gt;G$38,G$38-Övergångsperiod!$J23,0))</f>
        <v>40.73530648731743</v>
      </c>
      <c r="H52" s="214">
        <f>IF(Övergångsperiod!$J23&lt;H$39,-Övergångsperiod!$J23+H$39,IF(Övergångsperiod!$J23&gt;H$38,H$38-Övergångsperiod!$J23,0))</f>
        <v>25.73530648731743</v>
      </c>
      <c r="I52" s="214">
        <f>IF(Övergångsperiod!$J23&lt;I$39,-Övergångsperiod!$J23+I$39,IF(Övergångsperiod!$J23&gt;I$38,I$38-Övergångsperiod!$J23,0))</f>
        <v>10.73530648731743</v>
      </c>
      <c r="J52" s="214">
        <f>IF(Övergångsperiod!$J23&lt;J$39,-Övergångsperiod!$J23+J$39,IF(Övergångsperiod!$J23&gt;J$38,J$38-Övergångsperiod!$J23,0))</f>
        <v>0.73530648731743042</v>
      </c>
      <c r="N52" s="8"/>
      <c r="O52" s="8"/>
      <c r="P52" s="8"/>
      <c r="Q52" s="8"/>
      <c r="R52" s="8"/>
      <c r="S52" s="8"/>
      <c r="T52" s="8"/>
      <c r="U52" s="8"/>
      <c r="V52" s="8"/>
      <c r="W52" s="10"/>
      <c r="X52" s="215"/>
      <c r="Y52" s="215"/>
      <c r="Z52" s="215"/>
      <c r="AA52" s="215"/>
      <c r="AB52" s="215"/>
      <c r="AC52" s="215"/>
      <c r="AD52" s="215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s="3" customFormat="1" x14ac:dyDescent="0.35">
      <c r="A53" s="133"/>
      <c r="B53" s="133" t="s">
        <v>63</v>
      </c>
      <c r="C53" s="158">
        <f>Bestämningsfaktorer!C17</f>
        <v>250414</v>
      </c>
      <c r="D53" s="214">
        <f t="shared" si="4"/>
        <v>51.994570149038772</v>
      </c>
      <c r="E53" s="214">
        <f>IF(Övergångsperiod!$G24&lt;E$39,-Övergångsperiod!$G24+E$39,IF(Övergångsperiod!$G24&gt;E$38,E$38-Övergångsperiod!$G24,0))</f>
        <v>41.994570149038772</v>
      </c>
      <c r="F53" s="214">
        <f>IF(Övergångsperiod!$G24&lt;F$39,-Övergångsperiod!$G24+F$39,IF(Övergångsperiod!$G24&gt;F$38,F$38-Övergångsperiod!$G24,0))</f>
        <v>21.994570149038772</v>
      </c>
      <c r="G53" s="214">
        <f>IF(Övergångsperiod!$J24&lt;G$39,-Övergångsperiod!$J24+G$39,IF(Övergångsperiod!$J24&gt;G$38,G$38-Övergångsperiod!$J24,0))</f>
        <v>0</v>
      </c>
      <c r="H53" s="214">
        <f>IF(Övergångsperiod!$J24&lt;H$39,-Övergångsperiod!$J24+H$39,IF(Övergångsperiod!$J24&gt;H$38,H$38-Övergångsperiod!$J24,0))</f>
        <v>0</v>
      </c>
      <c r="I53" s="214">
        <f>IF(Övergångsperiod!$J24&lt;I$39,-Övergångsperiod!$J24+I$39,IF(Övergångsperiod!$J24&gt;I$38,I$38-Övergångsperiod!$J24,0))</f>
        <v>0</v>
      </c>
      <c r="J53" s="214">
        <f>IF(Övergångsperiod!$J24&lt;J$39,-Övergångsperiod!$J24+J$39,IF(Övergångsperiod!$J24&gt;J$38,J$38-Övergångsperiod!$J24,0))</f>
        <v>0</v>
      </c>
      <c r="N53" s="8"/>
      <c r="O53" s="8"/>
      <c r="P53" s="8"/>
      <c r="Q53" s="8"/>
      <c r="R53" s="8"/>
      <c r="S53" s="8"/>
      <c r="T53" s="8"/>
      <c r="U53" s="8"/>
      <c r="V53" s="8"/>
      <c r="W53" s="10"/>
      <c r="X53" s="215"/>
      <c r="Y53" s="215"/>
      <c r="Z53" s="215"/>
      <c r="AA53" s="215"/>
      <c r="AB53" s="215"/>
      <c r="AC53" s="215"/>
      <c r="AD53" s="215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s="3" customFormat="1" x14ac:dyDescent="0.35">
      <c r="A54" s="24"/>
      <c r="B54" s="24" t="s">
        <v>65</v>
      </c>
      <c r="C54" s="158">
        <f>Bestämningsfaktorer!C18</f>
        <v>165569</v>
      </c>
      <c r="D54" s="214">
        <f t="shared" si="4"/>
        <v>-359.28821665950937</v>
      </c>
      <c r="E54" s="214">
        <f>IF(Övergångsperiod!$G25&lt;E$39,-Övergångsperiod!$G25+E$39,IF(Övergångsperiod!$G25&gt;E$38,E$38-Övergångsperiod!$G25,0))</f>
        <v>-349.28821665950937</v>
      </c>
      <c r="F54" s="214">
        <f>IF(Övergångsperiod!$G25&lt;F$39,-Övergångsperiod!$G25+F$39,IF(Övergångsperiod!$G25&gt;F$38,F$38-Övergångsperiod!$G25,0))</f>
        <v>-329.28821665950937</v>
      </c>
      <c r="G54" s="214">
        <f>IF(Övergångsperiod!$J25&lt;G$39,-Övergångsperiod!$J25+G$39,IF(Övergångsperiod!$J25&gt;G$38,G$38-Övergångsperiod!$J25,0))</f>
        <v>-295.65640458499848</v>
      </c>
      <c r="H54" s="214">
        <f>IF(Övergångsperiod!$J25&lt;H$39,-Övergångsperiod!$J25+H$39,IF(Övergångsperiod!$J25&gt;H$38,H$38-Övergångsperiod!$J25,0))</f>
        <v>-265.65640458499848</v>
      </c>
      <c r="I54" s="214">
        <f>IF(Övergångsperiod!$J25&lt;I$39,-Övergångsperiod!$J25+I$39,IF(Övergångsperiod!$J25&gt;I$38,I$38-Övergångsperiod!$J25,0))</f>
        <v>-205.65640458499848</v>
      </c>
      <c r="J54" s="214">
        <f>IF(Övergångsperiod!$J25&lt;J$39,-Övergångsperiod!$J25+J$39,IF(Övergångsperiod!$J25&gt;J$38,J$38-Övergångsperiod!$J25,0))</f>
        <v>-155.65640458499848</v>
      </c>
      <c r="N54" s="8"/>
      <c r="O54" s="8"/>
      <c r="P54" s="8"/>
      <c r="Q54" s="8"/>
      <c r="R54" s="8"/>
      <c r="S54" s="8"/>
      <c r="T54" s="8"/>
      <c r="U54" s="8"/>
      <c r="V54" s="8"/>
      <c r="W54" s="10"/>
      <c r="X54" s="215"/>
      <c r="Y54" s="215"/>
      <c r="Z54" s="215"/>
      <c r="AA54" s="215"/>
      <c r="AB54" s="215"/>
      <c r="AC54" s="215"/>
      <c r="AD54" s="215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3" customFormat="1" x14ac:dyDescent="0.35">
      <c r="A55" s="133"/>
      <c r="B55" s="133" t="s">
        <v>67</v>
      </c>
      <c r="C55" s="158">
        <f>Bestämningsfaktorer!C19</f>
        <v>273283</v>
      </c>
      <c r="D55" s="214">
        <f t="shared" si="4"/>
        <v>-132.62484471080236</v>
      </c>
      <c r="E55" s="214">
        <f>IF(Övergångsperiod!$G26&lt;E$39,-Övergångsperiod!$G26+E$39,IF(Övergångsperiod!$G26&gt;E$38,E$38-Övergångsperiod!$G26,0))</f>
        <v>-122.62484471080236</v>
      </c>
      <c r="F55" s="214">
        <f>IF(Övergångsperiod!$G26&lt;F$39,-Övergångsperiod!$G26+F$39,IF(Övergångsperiod!$G26&gt;F$38,F$38-Övergångsperiod!$G26,0))</f>
        <v>-102.62484471080236</v>
      </c>
      <c r="G55" s="214">
        <f>IF(Övergångsperiod!$J26&lt;G$39,-Övergångsperiod!$J26+G$39,IF(Övergångsperiod!$J26&gt;G$38,G$38-Övergångsperiod!$J26,0))</f>
        <v>-67.796214428006991</v>
      </c>
      <c r="H55" s="214">
        <f>IF(Övergångsperiod!$J26&lt;H$39,-Övergångsperiod!$J26+H$39,IF(Övergångsperiod!$J26&gt;H$38,H$38-Övergångsperiod!$J26,0))</f>
        <v>-37.796214428006991</v>
      </c>
      <c r="I55" s="214">
        <f>IF(Övergångsperiod!$J26&lt;I$39,-Övergångsperiod!$J26+I$39,IF(Övergångsperiod!$J26&gt;I$38,I$38-Övergångsperiod!$J26,0))</f>
        <v>0</v>
      </c>
      <c r="J55" s="214">
        <f>IF(Övergångsperiod!$J26&lt;J$39,-Övergångsperiod!$J26+J$39,IF(Övergångsperiod!$J26&gt;J$38,J$38-Övergångsperiod!$J26,0))</f>
        <v>0</v>
      </c>
      <c r="N55" s="8"/>
      <c r="O55" s="8"/>
      <c r="P55" s="8"/>
      <c r="Q55" s="8"/>
      <c r="R55" s="8"/>
      <c r="S55" s="8"/>
      <c r="T55" s="8"/>
      <c r="U55" s="8"/>
      <c r="V55" s="8"/>
      <c r="W55" s="10"/>
      <c r="X55" s="215"/>
      <c r="Y55" s="215"/>
      <c r="Z55" s="215"/>
      <c r="AA55" s="215"/>
      <c r="AB55" s="215"/>
      <c r="AC55" s="215"/>
      <c r="AD55" s="215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3" customFormat="1" x14ac:dyDescent="0.35">
      <c r="A56" s="133"/>
      <c r="B56" s="133" t="s">
        <v>69</v>
      </c>
      <c r="C56" s="158">
        <f>Bestämningsfaktorer!C20</f>
        <v>194316</v>
      </c>
      <c r="D56" s="214">
        <f t="shared" si="4"/>
        <v>42.503803136227674</v>
      </c>
      <c r="E56" s="214">
        <f>IF(Övergångsperiod!$G27&lt;E$39,-Övergångsperiod!$G27+E$39,IF(Övergångsperiod!$G27&gt;E$38,E$38-Övergångsperiod!$G27,0))</f>
        <v>32.503803136227674</v>
      </c>
      <c r="F56" s="214">
        <f>IF(Övergångsperiod!$G27&lt;F$39,-Övergångsperiod!$G27+F$39,IF(Övergångsperiod!$G27&gt;F$38,F$38-Övergångsperiod!$G27,0))</f>
        <v>12.503803136227674</v>
      </c>
      <c r="G56" s="214">
        <f>IF(Övergångsperiod!$J27&lt;G$39,-Övergångsperiod!$J27+G$39,IF(Övergångsperiod!$J27&gt;G$38,G$38-Övergångsperiod!$J27,0))</f>
        <v>0</v>
      </c>
      <c r="H56" s="214">
        <f>IF(Övergångsperiod!$J27&lt;H$39,-Övergångsperiod!$J27+H$39,IF(Övergångsperiod!$J27&gt;H$38,H$38-Övergångsperiod!$J27,0))</f>
        <v>0</v>
      </c>
      <c r="I56" s="214">
        <f>IF(Övergångsperiod!$J27&lt;I$39,-Övergångsperiod!$J27+I$39,IF(Övergångsperiod!$J27&gt;I$38,I$38-Övergångsperiod!$J27,0))</f>
        <v>0</v>
      </c>
      <c r="J56" s="214">
        <f>IF(Övergångsperiod!$J27&lt;J$39,-Övergångsperiod!$J27+J$39,IF(Övergångsperiod!$J27&gt;J$38,J$38-Övergångsperiod!$J27,0))</f>
        <v>0</v>
      </c>
      <c r="N56" s="8"/>
      <c r="O56" s="8"/>
      <c r="P56" s="8"/>
      <c r="Q56" s="8"/>
      <c r="R56" s="8"/>
      <c r="S56" s="8"/>
      <c r="T56" s="8"/>
      <c r="U56" s="8"/>
      <c r="V56" s="8"/>
      <c r="W56" s="10"/>
      <c r="X56" s="215"/>
      <c r="Y56" s="215"/>
      <c r="Z56" s="215"/>
      <c r="AA56" s="215"/>
      <c r="AB56" s="215"/>
      <c r="AC56" s="215"/>
      <c r="AD56" s="215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3" customFormat="1" x14ac:dyDescent="0.35">
      <c r="A57" s="133"/>
      <c r="B57" s="133" t="s">
        <v>71</v>
      </c>
      <c r="C57" s="158">
        <f>Bestämningsfaktorer!C21</f>
        <v>176193</v>
      </c>
      <c r="D57" s="214">
        <f t="shared" si="4"/>
        <v>165.36410431271207</v>
      </c>
      <c r="E57" s="214">
        <f>IF(Övergångsperiod!$G28&lt;E$39,-Övergångsperiod!$G28+E$39,IF(Övergångsperiod!$G28&gt;E$38,E$38-Övergångsperiod!$G28,0))</f>
        <v>155.36410431271207</v>
      </c>
      <c r="F57" s="214">
        <f>IF(Övergångsperiod!$G28&lt;F$39,-Övergångsperiod!$G28+F$39,IF(Övergångsperiod!$G28&gt;F$38,F$38-Övergångsperiod!$G28,0))</f>
        <v>135.36410431271207</v>
      </c>
      <c r="G57" s="214">
        <f>IF(Övergångsperiod!$J28&lt;G$39,-Övergångsperiod!$J28+G$39,IF(Övergångsperiod!$J28&gt;G$38,G$38-Övergångsperiod!$J28,0))</f>
        <v>106.36070886049561</v>
      </c>
      <c r="H57" s="214">
        <f>IF(Övergångsperiod!$J28&lt;H$39,-Övergångsperiod!$J28+H$39,IF(Övergångsperiod!$J28&gt;H$38,H$38-Övergångsperiod!$J28,0))</f>
        <v>91.360708860495606</v>
      </c>
      <c r="I57" s="214">
        <f>IF(Övergångsperiod!$J28&lt;I$39,-Övergångsperiod!$J28+I$39,IF(Övergångsperiod!$J28&gt;I$38,I$38-Övergångsperiod!$J28,0))</f>
        <v>76.360708860495606</v>
      </c>
      <c r="J57" s="214">
        <f>IF(Övergångsperiod!$J28&lt;J$39,-Övergångsperiod!$J28+J$39,IF(Övergångsperiod!$J28&gt;J$38,J$38-Övergångsperiod!$J28,0))</f>
        <v>66.360708860495606</v>
      </c>
      <c r="N57" s="8"/>
      <c r="O57" s="8"/>
      <c r="P57" s="8"/>
      <c r="Q57" s="8"/>
      <c r="R57" s="8"/>
      <c r="S57" s="8"/>
      <c r="T57" s="8"/>
      <c r="U57" s="8"/>
      <c r="V57" s="8"/>
      <c r="W57" s="10"/>
      <c r="X57" s="215"/>
      <c r="Y57" s="215"/>
      <c r="Z57" s="215"/>
      <c r="AA57" s="215"/>
      <c r="AB57" s="215"/>
      <c r="AC57" s="215"/>
      <c r="AD57" s="215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3" customFormat="1" x14ac:dyDescent="0.35">
      <c r="A58" s="133"/>
      <c r="B58" s="133" t="s">
        <v>73</v>
      </c>
      <c r="C58" s="158">
        <f>Bestämningsfaktorer!C22</f>
        <v>68437</v>
      </c>
      <c r="D58" s="214">
        <f t="shared" si="4"/>
        <v>62.539635185719874</v>
      </c>
      <c r="E58" s="214">
        <f>IF(Övergångsperiod!$G29&lt;E$39,-Övergångsperiod!$G29+E$39,IF(Övergångsperiod!$G29&gt;E$38,E$38-Övergångsperiod!$G29,0))</f>
        <v>52.539635185719874</v>
      </c>
      <c r="F58" s="214">
        <f>IF(Övergångsperiod!$G29&lt;F$39,-Övergångsperiod!$G29+F$39,IF(Övergångsperiod!$G29&gt;F$38,F$38-Övergångsperiod!$G29,0))</f>
        <v>32.539635185719874</v>
      </c>
      <c r="G58" s="214">
        <f>IF(Övergångsperiod!$J29&lt;G$39,-Övergångsperiod!$J29+G$39,IF(Övergångsperiod!$J29&gt;G$38,G$38-Övergångsperiod!$J29,0))</f>
        <v>0</v>
      </c>
      <c r="H58" s="214">
        <f>IF(Övergångsperiod!$J29&lt;H$39,-Övergångsperiod!$J29+H$39,IF(Övergångsperiod!$J29&gt;H$38,H$38-Övergångsperiod!$J29,0))</f>
        <v>0</v>
      </c>
      <c r="I58" s="214">
        <f>IF(Övergångsperiod!$J29&lt;I$39,-Övergångsperiod!$J29+I$39,IF(Övergångsperiod!$J29&gt;I$38,I$38-Övergångsperiod!$J29,0))</f>
        <v>0</v>
      </c>
      <c r="J58" s="214">
        <f>IF(Övergångsperiod!$J29&lt;J$39,-Övergångsperiod!$J29+J$39,IF(Övergångsperiod!$J29&gt;J$38,J$38-Övergångsperiod!$J29,0))</f>
        <v>0</v>
      </c>
      <c r="N58" s="8"/>
      <c r="O58" s="8"/>
      <c r="P58" s="8"/>
      <c r="Q58" s="8"/>
      <c r="R58" s="8"/>
      <c r="S58" s="8"/>
      <c r="T58" s="8"/>
      <c r="U58" s="8"/>
      <c r="V58" s="8"/>
      <c r="W58" s="10"/>
      <c r="X58" s="215"/>
      <c r="Y58" s="215"/>
      <c r="Z58" s="215"/>
      <c r="AA58" s="215"/>
      <c r="AB58" s="215"/>
      <c r="AC58" s="215"/>
      <c r="AD58" s="215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3" customFormat="1" x14ac:dyDescent="0.35">
      <c r="A59" s="133"/>
      <c r="B59" s="133" t="s">
        <v>75</v>
      </c>
      <c r="C59" s="158">
        <f>Bestämningsfaktorer!C23</f>
        <v>412161</v>
      </c>
      <c r="D59" s="214">
        <f t="shared" si="4"/>
        <v>23.299572451052338</v>
      </c>
      <c r="E59" s="214">
        <f>IF(Övergångsperiod!$G30&lt;E$39,-Övergångsperiod!$G30+E$39,IF(Övergångsperiod!$G30&gt;E$38,E$38-Övergångsperiod!$G30,0))</f>
        <v>13.299572451052338</v>
      </c>
      <c r="F59" s="214">
        <f>IF(Övergångsperiod!$G30&lt;F$39,-Övergångsperiod!$G30+F$39,IF(Övergångsperiod!$G30&gt;F$38,F$38-Övergångsperiod!$G30,0))</f>
        <v>0</v>
      </c>
      <c r="G59" s="214">
        <f>IF(Övergångsperiod!$J30&lt;G$39,-Övergångsperiod!$J30+G$39,IF(Övergångsperiod!$J30&gt;G$38,G$38-Övergångsperiod!$J30,0))</f>
        <v>0</v>
      </c>
      <c r="H59" s="214">
        <f>IF(Övergångsperiod!$J30&lt;H$39,-Övergångsperiod!$J30+H$39,IF(Övergångsperiod!$J30&gt;H$38,H$38-Övergångsperiod!$J30,0))</f>
        <v>0</v>
      </c>
      <c r="I59" s="214">
        <f>IF(Övergångsperiod!$J30&lt;I$39,-Övergångsperiod!$J30+I$39,IF(Övergångsperiod!$J30&gt;I$38,I$38-Övergångsperiod!$J30,0))</f>
        <v>0</v>
      </c>
      <c r="J59" s="214">
        <f>IF(Övergångsperiod!$J30&lt;J$39,-Övergångsperiod!$J30+J$39,IF(Övergångsperiod!$J30&gt;J$38,J$38-Övergångsperiod!$J30,0))</f>
        <v>0</v>
      </c>
      <c r="N59" s="8"/>
      <c r="O59" s="8"/>
      <c r="P59" s="8"/>
      <c r="Q59" s="8"/>
      <c r="R59" s="8"/>
      <c r="S59" s="8"/>
      <c r="T59" s="8"/>
      <c r="U59" s="8"/>
      <c r="V59" s="8"/>
      <c r="W59" s="10"/>
      <c r="X59" s="215"/>
      <c r="Y59" s="215"/>
      <c r="Z59" s="215"/>
      <c r="AA59" s="215"/>
      <c r="AB59" s="215"/>
      <c r="AC59" s="215"/>
      <c r="AD59" s="215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3" customFormat="1" x14ac:dyDescent="0.35">
      <c r="A60" s="133"/>
      <c r="B60" s="133" t="s">
        <v>77</v>
      </c>
      <c r="C60" s="158">
        <f>Bestämningsfaktorer!C24</f>
        <v>73061</v>
      </c>
      <c r="D60" s="214">
        <f t="shared" si="4"/>
        <v>205.33299006239898</v>
      </c>
      <c r="E60" s="214">
        <f>IF(Övergångsperiod!$G31&lt;E$39,-Övergångsperiod!$G31+E$39,IF(Övergångsperiod!$G31&gt;E$38,E$38-Övergångsperiod!$G31,0))</f>
        <v>195.33299006239898</v>
      </c>
      <c r="F60" s="214">
        <f>IF(Övergångsperiod!$G31&lt;F$39,-Övergångsperiod!$G31+F$39,IF(Övergångsperiod!$G31&gt;F$38,F$38-Övergångsperiod!$G31,0))</f>
        <v>175.33299006239898</v>
      </c>
      <c r="G60" s="214">
        <f>IF(Övergångsperiod!$J31&lt;G$39,-Övergångsperiod!$J31+G$39,IF(Övergångsperiod!$J31&gt;G$38,G$38-Övergångsperiod!$J31,0))</f>
        <v>141.86546732732631</v>
      </c>
      <c r="H60" s="214">
        <f>IF(Övergångsperiod!$J31&lt;H$39,-Övergångsperiod!$J31+H$39,IF(Övergångsperiod!$J31&gt;H$38,H$38-Övergångsperiod!$J31,0))</f>
        <v>126.86546732732631</v>
      </c>
      <c r="I60" s="214">
        <f>IF(Övergångsperiod!$J31&lt;I$39,-Övergångsperiod!$J31+I$39,IF(Övergångsperiod!$J31&gt;I$38,I$38-Övergångsperiod!$J31,0))</f>
        <v>111.86546732732631</v>
      </c>
      <c r="J60" s="214">
        <f>IF(Övergångsperiod!$J31&lt;J$39,-Övergångsperiod!$J31+J$39,IF(Övergångsperiod!$J31&gt;J$38,J$38-Övergångsperiod!$J31,0))</f>
        <v>101.86546732732631</v>
      </c>
      <c r="N60" s="8"/>
      <c r="O60" s="8"/>
      <c r="P60" s="8"/>
      <c r="Q60" s="8"/>
      <c r="R60" s="8"/>
      <c r="S60" s="8"/>
      <c r="T60" s="8"/>
      <c r="U60" s="8"/>
      <c r="V60" s="8"/>
      <c r="W60" s="10"/>
      <c r="X60" s="215"/>
      <c r="Y60" s="215"/>
      <c r="Z60" s="215"/>
      <c r="AA60" s="215"/>
      <c r="AB60" s="215"/>
      <c r="AC60" s="215"/>
      <c r="AD60" s="215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3" customFormat="1" x14ac:dyDescent="0.35">
      <c r="A61" s="133"/>
      <c r="B61" s="133" t="s">
        <v>79</v>
      </c>
      <c r="C61" s="158">
        <f>Bestämningsfaktorer!C25</f>
        <v>178522</v>
      </c>
      <c r="D61" s="214">
        <f t="shared" si="4"/>
        <v>-83.026150713765716</v>
      </c>
      <c r="E61" s="214">
        <f>IF(Övergångsperiod!$G32&lt;E$39,-Övergångsperiod!$G32+E$39,IF(Övergångsperiod!$G32&gt;E$38,E$38-Övergångsperiod!$G32,0))</f>
        <v>-73.026150713765716</v>
      </c>
      <c r="F61" s="214">
        <f>IF(Övergångsperiod!$G32&lt;F$39,-Övergångsperiod!$G32+F$39,IF(Övergångsperiod!$G32&gt;F$38,F$38-Övergångsperiod!$G32,0))</f>
        <v>-53.026150713765716</v>
      </c>
      <c r="G61" s="214">
        <f>IF(Övergångsperiod!$J32&lt;G$39,-Övergångsperiod!$J32+G$39,IF(Övergångsperiod!$J32&gt;G$38,G$38-Övergångsperiod!$J32,0))</f>
        <v>-22.17466348117442</v>
      </c>
      <c r="H61" s="214">
        <f>IF(Övergångsperiod!$J32&lt;H$39,-Övergångsperiod!$J32+H$39,IF(Övergångsperiod!$J32&gt;H$38,H$38-Övergångsperiod!$J32,0))</f>
        <v>0</v>
      </c>
      <c r="I61" s="214">
        <f>IF(Övergångsperiod!$J32&lt;I$39,-Övergångsperiod!$J32+I$39,IF(Övergångsperiod!$J32&gt;I$38,I$38-Övergångsperiod!$J32,0))</f>
        <v>0</v>
      </c>
      <c r="J61" s="214">
        <f>IF(Övergångsperiod!$J32&lt;J$39,-Övergångsperiod!$J32+J$39,IF(Övergångsperiod!$J32&gt;J$38,J$38-Övergångsperiod!$J32,0))</f>
        <v>0</v>
      </c>
      <c r="N61" s="8"/>
      <c r="O61" s="8"/>
      <c r="P61" s="8"/>
      <c r="Q61" s="8"/>
      <c r="R61" s="8"/>
      <c r="S61" s="8"/>
      <c r="T61" s="8"/>
      <c r="U61" s="8"/>
      <c r="V61" s="8"/>
      <c r="W61" s="10"/>
      <c r="X61" s="215"/>
      <c r="Y61" s="215"/>
      <c r="Z61" s="215"/>
      <c r="AA61" s="215"/>
      <c r="AB61" s="215"/>
      <c r="AC61" s="215"/>
      <c r="AD61" s="215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3" customFormat="1" x14ac:dyDescent="0.35">
      <c r="B62" s="16" t="s">
        <v>35</v>
      </c>
      <c r="C62" s="40">
        <f>SUM(C40:C61)</f>
        <v>5488130</v>
      </c>
      <c r="D62" s="214">
        <f>D89/$C$89</f>
        <v>-8.8242760065823671E-14</v>
      </c>
      <c r="E62" s="214">
        <f t="shared" ref="E62:J62" si="5">E89/$C$89</f>
        <v>-0.95325365835001663</v>
      </c>
      <c r="F62" s="214">
        <f t="shared" si="5"/>
        <v>-2.3565558908040916</v>
      </c>
      <c r="G62" s="214">
        <f t="shared" si="5"/>
        <v>-3.5708803950003531</v>
      </c>
      <c r="H62" s="214">
        <f t="shared" si="5"/>
        <v>-0.25846613290588499</v>
      </c>
      <c r="I62" s="214">
        <f t="shared" si="5"/>
        <v>3.6071002235581933</v>
      </c>
      <c r="J62" s="214">
        <f t="shared" si="5"/>
        <v>3.3832579328344692</v>
      </c>
      <c r="N62" s="8"/>
      <c r="O62" s="8"/>
      <c r="P62" s="8"/>
      <c r="Q62" s="8"/>
      <c r="R62" s="8"/>
      <c r="S62" s="8"/>
      <c r="T62" s="8"/>
      <c r="U62" s="8"/>
      <c r="V62" s="8"/>
      <c r="W62" s="10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s="3" customFormat="1" x14ac:dyDescent="0.35">
      <c r="B63" s="16"/>
      <c r="C63" s="16"/>
      <c r="H63" s="9"/>
      <c r="I63" s="40"/>
      <c r="N63" s="8"/>
      <c r="O63" s="8"/>
      <c r="P63" s="8"/>
      <c r="Q63" s="8"/>
      <c r="R63" s="8"/>
      <c r="S63" s="8"/>
      <c r="T63" s="8"/>
      <c r="U63" s="8"/>
      <c r="V63" s="8"/>
      <c r="W63" s="10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3" customFormat="1" x14ac:dyDescent="0.35">
      <c r="A64" s="17" t="s">
        <v>466</v>
      </c>
      <c r="B64" s="23"/>
      <c r="C64" s="23"/>
      <c r="D64" s="23"/>
      <c r="E64" s="23"/>
      <c r="F64" s="23"/>
      <c r="G64" s="23"/>
      <c r="H64" s="23"/>
      <c r="I64" s="23"/>
      <c r="J64" s="23"/>
      <c r="N64" s="8"/>
      <c r="O64" s="8"/>
      <c r="P64" s="8"/>
      <c r="Q64" s="8"/>
      <c r="R64" s="8"/>
      <c r="S64" s="8"/>
      <c r="T64" s="8"/>
      <c r="U64" s="8"/>
      <c r="V64" s="8"/>
      <c r="W64" s="10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s="3" customFormat="1" x14ac:dyDescent="0.35">
      <c r="B65" s="16"/>
      <c r="C65" s="16"/>
      <c r="D65" s="216">
        <v>2023</v>
      </c>
      <c r="E65" s="216">
        <v>2024</v>
      </c>
      <c r="F65" s="216">
        <v>2025</v>
      </c>
      <c r="G65" s="216">
        <v>2026</v>
      </c>
      <c r="H65" s="216">
        <v>2027</v>
      </c>
      <c r="I65" s="216">
        <v>2028</v>
      </c>
      <c r="J65" s="216">
        <v>2029</v>
      </c>
      <c r="N65" s="8"/>
      <c r="O65" s="8"/>
      <c r="P65" s="8"/>
      <c r="Q65" s="8"/>
      <c r="R65" s="8"/>
      <c r="S65" s="8"/>
      <c r="T65" s="8"/>
      <c r="U65" s="8"/>
      <c r="V65" s="8"/>
      <c r="W65" s="10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s="3" customFormat="1" x14ac:dyDescent="0.35">
      <c r="A66" s="273" t="s">
        <v>22</v>
      </c>
      <c r="B66" s="71" t="s">
        <v>34</v>
      </c>
      <c r="C66" s="72" t="s">
        <v>467</v>
      </c>
      <c r="D66" s="277" t="s">
        <v>468</v>
      </c>
      <c r="E66" s="278" t="s">
        <v>469</v>
      </c>
      <c r="F66" s="279" t="s">
        <v>470</v>
      </c>
      <c r="G66" s="278" t="s">
        <v>471</v>
      </c>
      <c r="H66" s="278" t="s">
        <v>472</v>
      </c>
      <c r="I66" s="278" t="s">
        <v>473</v>
      </c>
      <c r="J66" s="278" t="s">
        <v>474</v>
      </c>
      <c r="N66" s="8"/>
      <c r="O66" s="8"/>
      <c r="P66" s="8"/>
      <c r="Q66" s="8"/>
      <c r="R66" s="8"/>
      <c r="S66" s="8"/>
      <c r="T66" s="8"/>
      <c r="U66" s="8"/>
      <c r="V66" s="8"/>
      <c r="W66" s="10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35">
      <c r="A67" s="205"/>
      <c r="B67" s="100" t="s">
        <v>37</v>
      </c>
      <c r="C67" s="158">
        <f>Bestämningsfaktorer!C4</f>
        <v>648042</v>
      </c>
      <c r="D67" s="169">
        <f>D40*$C67</f>
        <v>40273720.24173975</v>
      </c>
      <c r="E67" s="169">
        <f t="shared" ref="E67:J67" si="6">E40*$C67</f>
        <v>33793300.24173975</v>
      </c>
      <c r="F67" s="169">
        <f t="shared" si="6"/>
        <v>20832460.24173975</v>
      </c>
      <c r="G67" s="169">
        <f t="shared" si="6"/>
        <v>161214.43858003814</v>
      </c>
      <c r="H67" s="169">
        <f t="shared" si="6"/>
        <v>0</v>
      </c>
      <c r="I67" s="169">
        <f t="shared" si="6"/>
        <v>0</v>
      </c>
      <c r="J67" s="169">
        <f t="shared" si="6"/>
        <v>0</v>
      </c>
      <c r="P67" s="134"/>
      <c r="Q67" s="134"/>
      <c r="R67" s="134"/>
      <c r="S67" s="134"/>
      <c r="T67" s="134"/>
      <c r="U67" s="134"/>
      <c r="V67" s="134"/>
      <c r="W67" s="10"/>
    </row>
    <row r="68" spans="1:50" x14ac:dyDescent="0.35">
      <c r="A68" s="205"/>
      <c r="B68" s="100" t="s">
        <v>459</v>
      </c>
      <c r="C68" s="158">
        <f>Bestämningsfaktorer!C5</f>
        <v>264420</v>
      </c>
      <c r="D68" s="169">
        <f t="shared" ref="D68:J88" si="7">D41*$C68</f>
        <v>-11435850.86089313</v>
      </c>
      <c r="E68" s="169">
        <f t="shared" si="7"/>
        <v>-8791650.8608931303</v>
      </c>
      <c r="F68" s="169">
        <f t="shared" si="7"/>
        <v>-3503250.8608931298</v>
      </c>
      <c r="G68" s="169">
        <f t="shared" si="7"/>
        <v>0</v>
      </c>
      <c r="H68" s="169">
        <f t="shared" si="7"/>
        <v>0</v>
      </c>
      <c r="I68" s="169">
        <f t="shared" si="7"/>
        <v>0</v>
      </c>
      <c r="J68" s="169">
        <f t="shared" si="7"/>
        <v>0</v>
      </c>
      <c r="W68" s="10"/>
    </row>
    <row r="69" spans="1:50" x14ac:dyDescent="0.35">
      <c r="A69" s="205"/>
      <c r="B69" s="100" t="s">
        <v>41</v>
      </c>
      <c r="C69" s="158">
        <f>Bestämningsfaktorer!C6</f>
        <v>464302</v>
      </c>
      <c r="D69" s="169">
        <f t="shared" si="7"/>
        <v>46763394.099230289</v>
      </c>
      <c r="E69" s="169">
        <f t="shared" si="7"/>
        <v>42120374.099230289</v>
      </c>
      <c r="F69" s="169">
        <f t="shared" si="7"/>
        <v>32834334.099230289</v>
      </c>
      <c r="G69" s="169">
        <f t="shared" si="7"/>
        <v>19735227.010272026</v>
      </c>
      <c r="H69" s="169">
        <f t="shared" si="7"/>
        <v>12770697.010272028</v>
      </c>
      <c r="I69" s="169">
        <f t="shared" si="7"/>
        <v>5806167.010272027</v>
      </c>
      <c r="J69" s="169">
        <f t="shared" si="7"/>
        <v>1163147.0102720272</v>
      </c>
      <c r="M69" s="170"/>
      <c r="O69" s="166"/>
      <c r="Q69" s="164"/>
      <c r="R69" s="164"/>
      <c r="S69" s="164"/>
      <c r="T69" s="164"/>
      <c r="U69" s="164"/>
      <c r="V69" s="164"/>
      <c r="W69" s="10"/>
    </row>
    <row r="70" spans="1:50" x14ac:dyDescent="0.35">
      <c r="A70" s="205"/>
      <c r="B70" s="100" t="s">
        <v>43</v>
      </c>
      <c r="C70" s="158">
        <f>Bestämningsfaktorer!C7</f>
        <v>97263</v>
      </c>
      <c r="D70" s="169">
        <f t="shared" si="7"/>
        <v>-16777406.976301074</v>
      </c>
      <c r="E70" s="169">
        <f t="shared" si="7"/>
        <v>-15804776.976301074</v>
      </c>
      <c r="F70" s="169">
        <f t="shared" si="7"/>
        <v>-13859516.976301074</v>
      </c>
      <c r="G70" s="169">
        <f t="shared" si="7"/>
        <v>-11383244.40901041</v>
      </c>
      <c r="H70" s="169">
        <f t="shared" si="7"/>
        <v>-8465354.4090104103</v>
      </c>
      <c r="I70" s="169">
        <f t="shared" si="7"/>
        <v>-2629574.4090104103</v>
      </c>
      <c r="J70" s="169">
        <f t="shared" si="7"/>
        <v>0</v>
      </c>
      <c r="M70" s="170"/>
      <c r="O70" s="166"/>
      <c r="V70" s="10"/>
      <c r="W70" s="10"/>
    </row>
    <row r="71" spans="1:50" x14ac:dyDescent="0.35">
      <c r="A71" s="208"/>
      <c r="B71" s="103" t="s">
        <v>45</v>
      </c>
      <c r="C71" s="158">
        <f>Bestämningsfaktorer!C8</f>
        <v>196997</v>
      </c>
      <c r="D71" s="169">
        <f t="shared" si="7"/>
        <v>42505264.69622314</v>
      </c>
      <c r="E71" s="169">
        <f t="shared" si="7"/>
        <v>40535294.69622314</v>
      </c>
      <c r="F71" s="169">
        <f t="shared" si="7"/>
        <v>36595354.69622314</v>
      </c>
      <c r="G71" s="169">
        <f t="shared" si="7"/>
        <v>30175788.994508147</v>
      </c>
      <c r="H71" s="169">
        <f t="shared" si="7"/>
        <v>27220833.994508147</v>
      </c>
      <c r="I71" s="169">
        <f t="shared" si="7"/>
        <v>24265878.994508147</v>
      </c>
      <c r="J71" s="169">
        <f t="shared" si="7"/>
        <v>22295908.994508147</v>
      </c>
      <c r="M71" s="170"/>
      <c r="O71" s="166"/>
      <c r="V71" s="10"/>
      <c r="W71" s="10"/>
    </row>
    <row r="72" spans="1:50" x14ac:dyDescent="0.35">
      <c r="A72" s="133"/>
      <c r="B72" s="133" t="s">
        <v>47</v>
      </c>
      <c r="C72" s="158">
        <f>Bestämningsfaktorer!C9</f>
        <v>478582</v>
      </c>
      <c r="D72" s="169">
        <f t="shared" si="7"/>
        <v>-33393409.335266829</v>
      </c>
      <c r="E72" s="169">
        <f t="shared" si="7"/>
        <v>-28607589.335266829</v>
      </c>
      <c r="F72" s="169">
        <f t="shared" si="7"/>
        <v>-19035949.335266829</v>
      </c>
      <c r="G72" s="169">
        <f t="shared" si="7"/>
        <v>-2906690.9074518671</v>
      </c>
      <c r="H72" s="169">
        <f t="shared" si="7"/>
        <v>0</v>
      </c>
      <c r="I72" s="169">
        <f t="shared" si="7"/>
        <v>0</v>
      </c>
      <c r="J72" s="169">
        <f t="shared" si="7"/>
        <v>0</v>
      </c>
      <c r="M72" s="170"/>
      <c r="O72" s="166"/>
      <c r="V72" s="10"/>
      <c r="W72" s="10"/>
    </row>
    <row r="73" spans="1:50" x14ac:dyDescent="0.35">
      <c r="A73" s="133"/>
      <c r="B73" s="133" t="s">
        <v>49</v>
      </c>
      <c r="C73" s="158">
        <f>Bestämningsfaktorer!C10</f>
        <v>218624</v>
      </c>
      <c r="D73" s="169">
        <f t="shared" si="7"/>
        <v>6823126.292378664</v>
      </c>
      <c r="E73" s="169">
        <f t="shared" si="7"/>
        <v>4636886.292378664</v>
      </c>
      <c r="F73" s="169">
        <f t="shared" si="7"/>
        <v>264406.29237866407</v>
      </c>
      <c r="G73" s="169">
        <f t="shared" si="7"/>
        <v>0</v>
      </c>
      <c r="H73" s="169">
        <f t="shared" si="7"/>
        <v>0</v>
      </c>
      <c r="I73" s="169">
        <f t="shared" si="7"/>
        <v>0</v>
      </c>
      <c r="J73" s="169">
        <f t="shared" si="7"/>
        <v>0</v>
      </c>
      <c r="K73" s="8"/>
      <c r="M73" s="170"/>
      <c r="O73" s="166"/>
      <c r="V73" s="10"/>
      <c r="W73" s="10"/>
    </row>
    <row r="74" spans="1:50" x14ac:dyDescent="0.35">
      <c r="A74" s="133"/>
      <c r="B74" s="133" t="s">
        <v>51</v>
      </c>
      <c r="C74" s="158">
        <f>Bestämningsfaktorer!C11</f>
        <v>171364</v>
      </c>
      <c r="D74" s="169">
        <f t="shared" si="7"/>
        <v>-14370187.988706827</v>
      </c>
      <c r="E74" s="169">
        <f t="shared" si="7"/>
        <v>-12656547.988706827</v>
      </c>
      <c r="F74" s="169">
        <f t="shared" si="7"/>
        <v>-9229267.9887068272</v>
      </c>
      <c r="G74" s="169">
        <f t="shared" si="7"/>
        <v>-3511618.3413704634</v>
      </c>
      <c r="H74" s="169">
        <f t="shared" si="7"/>
        <v>0</v>
      </c>
      <c r="I74" s="169">
        <f t="shared" si="7"/>
        <v>0</v>
      </c>
      <c r="J74" s="169">
        <f t="shared" si="7"/>
        <v>0</v>
      </c>
      <c r="K74" s="122"/>
      <c r="L74" s="8"/>
      <c r="M74" s="166"/>
      <c r="O74" s="166"/>
    </row>
    <row r="75" spans="1:50" x14ac:dyDescent="0.35">
      <c r="A75" s="133"/>
      <c r="B75" s="133" t="s">
        <v>53</v>
      </c>
      <c r="C75" s="158">
        <f>Bestämningsfaktorer!C12</f>
        <v>517333</v>
      </c>
      <c r="D75" s="169">
        <f t="shared" si="7"/>
        <v>-16040427.217641592</v>
      </c>
      <c r="E75" s="169">
        <f t="shared" si="7"/>
        <v>-10867097.217641592</v>
      </c>
      <c r="F75" s="169">
        <f t="shared" si="7"/>
        <v>-520437.21764159278</v>
      </c>
      <c r="G75" s="169">
        <f t="shared" si="7"/>
        <v>0</v>
      </c>
      <c r="H75" s="169">
        <f t="shared" si="7"/>
        <v>0</v>
      </c>
      <c r="I75" s="169">
        <f t="shared" si="7"/>
        <v>0</v>
      </c>
      <c r="J75" s="169">
        <f t="shared" si="7"/>
        <v>0</v>
      </c>
      <c r="K75" s="122"/>
      <c r="L75" s="8"/>
      <c r="M75" s="166"/>
      <c r="O75" s="166"/>
      <c r="P75" s="204"/>
      <c r="Q75" s="204"/>
      <c r="R75" s="204"/>
      <c r="S75" s="204"/>
      <c r="T75" s="204"/>
      <c r="U75" s="204"/>
      <c r="V75" s="204"/>
    </row>
    <row r="76" spans="1:50" x14ac:dyDescent="0.35">
      <c r="A76" s="133"/>
      <c r="B76" s="133" t="s">
        <v>55</v>
      </c>
      <c r="C76" s="158">
        <f>Bestämningsfaktorer!C13</f>
        <v>207394</v>
      </c>
      <c r="D76" s="169">
        <f t="shared" si="7"/>
        <v>-31902429.75585866</v>
      </c>
      <c r="E76" s="169">
        <f t="shared" si="7"/>
        <v>-29828489.75585866</v>
      </c>
      <c r="F76" s="169">
        <f t="shared" si="7"/>
        <v>-25680609.75585866</v>
      </c>
      <c r="G76" s="169">
        <f t="shared" si="7"/>
        <v>-18008410.707311034</v>
      </c>
      <c r="H76" s="169">
        <f t="shared" si="7"/>
        <v>-11786590.707311034</v>
      </c>
      <c r="I76" s="169">
        <f t="shared" si="7"/>
        <v>0</v>
      </c>
      <c r="J76" s="169">
        <f t="shared" si="7"/>
        <v>0</v>
      </c>
      <c r="K76" s="122"/>
      <c r="L76" s="203"/>
      <c r="M76" s="203"/>
      <c r="O76" s="166"/>
      <c r="P76" s="204"/>
      <c r="Q76" s="204"/>
      <c r="R76" s="204"/>
      <c r="S76" s="204"/>
      <c r="T76" s="204"/>
      <c r="U76" s="204"/>
      <c r="V76" s="204"/>
    </row>
    <row r="77" spans="1:50" x14ac:dyDescent="0.35">
      <c r="A77" s="133"/>
      <c r="B77" s="133" t="s">
        <v>57</v>
      </c>
      <c r="C77" s="158">
        <f>Bestämningsfaktorer!C14</f>
        <v>166623</v>
      </c>
      <c r="D77" s="169">
        <f t="shared" si="7"/>
        <v>18406155.804131746</v>
      </c>
      <c r="E77" s="169">
        <f t="shared" si="7"/>
        <v>16739925.804131746</v>
      </c>
      <c r="F77" s="169">
        <f t="shared" si="7"/>
        <v>13407465.804131746</v>
      </c>
      <c r="G77" s="169">
        <f t="shared" si="7"/>
        <v>8310463.1026710263</v>
      </c>
      <c r="H77" s="169">
        <f t="shared" si="7"/>
        <v>5811118.1026710263</v>
      </c>
      <c r="I77" s="169">
        <f t="shared" si="7"/>
        <v>3311773.1026710263</v>
      </c>
      <c r="J77" s="169">
        <f t="shared" si="7"/>
        <v>1645543.102671026</v>
      </c>
      <c r="K77" s="177"/>
      <c r="L77" s="203"/>
      <c r="M77" s="203"/>
      <c r="O77" s="166"/>
      <c r="P77" s="204"/>
      <c r="Q77" s="204"/>
      <c r="R77" s="204"/>
      <c r="S77" s="204"/>
      <c r="T77" s="204"/>
      <c r="U77" s="204"/>
      <c r="V77" s="204"/>
    </row>
    <row r="78" spans="1:50" x14ac:dyDescent="0.35">
      <c r="A78" s="133"/>
      <c r="B78" s="133" t="s">
        <v>59</v>
      </c>
      <c r="C78" s="158">
        <f>Bestämningsfaktorer!C15</f>
        <v>128756</v>
      </c>
      <c r="D78" s="169">
        <f t="shared" si="7"/>
        <v>-13332951.345887065</v>
      </c>
      <c r="E78" s="169">
        <f t="shared" si="7"/>
        <v>-12045391.345887065</v>
      </c>
      <c r="F78" s="169">
        <f t="shared" si="7"/>
        <v>-9470271.3458870649</v>
      </c>
      <c r="G78" s="169">
        <f t="shared" si="7"/>
        <v>-5396587.11306113</v>
      </c>
      <c r="H78" s="169">
        <f t="shared" si="7"/>
        <v>-1533907.1130611296</v>
      </c>
      <c r="I78" s="169">
        <f t="shared" si="7"/>
        <v>0</v>
      </c>
      <c r="J78" s="169">
        <f t="shared" si="7"/>
        <v>0</v>
      </c>
      <c r="K78" s="15"/>
      <c r="L78" s="15"/>
      <c r="M78" s="15"/>
      <c r="O78" s="166"/>
      <c r="P78" s="204"/>
      <c r="Q78" s="204"/>
      <c r="R78" s="204"/>
      <c r="S78" s="204"/>
      <c r="T78" s="204"/>
      <c r="U78" s="204"/>
      <c r="V78" s="204"/>
    </row>
    <row r="79" spans="1:50" x14ac:dyDescent="0.35">
      <c r="A79" s="133"/>
      <c r="B79" s="133" t="s">
        <v>61</v>
      </c>
      <c r="C79" s="158">
        <f>Bestämningsfaktorer!C16</f>
        <v>136474</v>
      </c>
      <c r="D79" s="169">
        <f t="shared" si="7"/>
        <v>13733734.393931985</v>
      </c>
      <c r="E79" s="169">
        <f t="shared" si="7"/>
        <v>12368994.393931985</v>
      </c>
      <c r="F79" s="169">
        <f t="shared" si="7"/>
        <v>9639514.3939319849</v>
      </c>
      <c r="G79" s="169">
        <f t="shared" si="7"/>
        <v>5559310.2175501594</v>
      </c>
      <c r="H79" s="169">
        <f t="shared" si="7"/>
        <v>3512200.217550159</v>
      </c>
      <c r="I79" s="169">
        <f t="shared" si="7"/>
        <v>1465090.217550159</v>
      </c>
      <c r="J79" s="169">
        <f t="shared" si="7"/>
        <v>100350.217550159</v>
      </c>
      <c r="K79" s="166"/>
      <c r="L79" s="166"/>
      <c r="M79" s="166"/>
      <c r="O79" s="166"/>
      <c r="P79" s="164"/>
      <c r="Q79" s="164"/>
      <c r="R79" s="164"/>
      <c r="S79" s="164"/>
      <c r="T79" s="164"/>
      <c r="U79" s="164"/>
      <c r="V79" s="166"/>
    </row>
    <row r="80" spans="1:50" x14ac:dyDescent="0.35">
      <c r="A80" s="133"/>
      <c r="B80" s="133" t="s">
        <v>63</v>
      </c>
      <c r="C80" s="158">
        <f>Bestämningsfaktorer!C17</f>
        <v>250414</v>
      </c>
      <c r="D80" s="169">
        <f t="shared" si="7"/>
        <v>13020168.289301395</v>
      </c>
      <c r="E80" s="169">
        <f t="shared" si="7"/>
        <v>10516028.289301395</v>
      </c>
      <c r="F80" s="169">
        <f t="shared" si="7"/>
        <v>5507748.2893013954</v>
      </c>
      <c r="G80" s="169">
        <f t="shared" si="7"/>
        <v>0</v>
      </c>
      <c r="H80" s="169">
        <f t="shared" si="7"/>
        <v>0</v>
      </c>
      <c r="I80" s="169">
        <f t="shared" si="7"/>
        <v>0</v>
      </c>
      <c r="J80" s="169">
        <f t="shared" si="7"/>
        <v>0</v>
      </c>
      <c r="K80" s="166"/>
      <c r="L80" s="166"/>
      <c r="M80" s="166"/>
      <c r="O80" s="166"/>
      <c r="P80" s="164"/>
      <c r="Q80" s="164"/>
      <c r="R80" s="164"/>
      <c r="S80" s="164"/>
      <c r="T80" s="164"/>
      <c r="U80" s="164"/>
      <c r="V80" s="166"/>
    </row>
    <row r="81" spans="1:22" x14ac:dyDescent="0.35">
      <c r="A81" s="24"/>
      <c r="B81" s="24" t="s">
        <v>65</v>
      </c>
      <c r="C81" s="158">
        <f>Bestämningsfaktorer!C18</f>
        <v>165569</v>
      </c>
      <c r="D81" s="169">
        <f t="shared" si="7"/>
        <v>-59486990.744098306</v>
      </c>
      <c r="E81" s="169">
        <f t="shared" si="7"/>
        <v>-57831300.744098306</v>
      </c>
      <c r="F81" s="169">
        <f t="shared" si="7"/>
        <v>-54519920.744098306</v>
      </c>
      <c r="G81" s="169">
        <f t="shared" si="7"/>
        <v>-48951535.250733614</v>
      </c>
      <c r="H81" s="169">
        <f t="shared" si="7"/>
        <v>-43984465.250733614</v>
      </c>
      <c r="I81" s="169">
        <f t="shared" si="7"/>
        <v>-34050325.250733614</v>
      </c>
      <c r="J81" s="169">
        <f t="shared" si="7"/>
        <v>-25771875.250733614</v>
      </c>
      <c r="K81" s="166"/>
      <c r="L81" s="166"/>
      <c r="M81" s="166"/>
      <c r="O81" s="166"/>
      <c r="P81" s="164"/>
      <c r="Q81" s="164"/>
      <c r="R81" s="164"/>
      <c r="S81" s="164"/>
      <c r="T81" s="164"/>
      <c r="U81" s="164"/>
      <c r="V81" s="166"/>
    </row>
    <row r="82" spans="1:22" x14ac:dyDescent="0.35">
      <c r="A82" s="133"/>
      <c r="B82" s="133" t="s">
        <v>67</v>
      </c>
      <c r="C82" s="158">
        <f>Bestämningsfaktorer!C19</f>
        <v>273283</v>
      </c>
      <c r="D82" s="169">
        <f t="shared" si="7"/>
        <v>-36244115.437102206</v>
      </c>
      <c r="E82" s="169">
        <f t="shared" si="7"/>
        <v>-33511285.437102202</v>
      </c>
      <c r="F82" s="169">
        <f t="shared" si="7"/>
        <v>-28045625.437102202</v>
      </c>
      <c r="G82" s="169">
        <f t="shared" si="7"/>
        <v>-18527552.867529035</v>
      </c>
      <c r="H82" s="169">
        <f t="shared" si="7"/>
        <v>-10329062.867529035</v>
      </c>
      <c r="I82" s="169">
        <f t="shared" si="7"/>
        <v>0</v>
      </c>
      <c r="J82" s="169">
        <f t="shared" si="7"/>
        <v>0</v>
      </c>
      <c r="K82" s="166"/>
      <c r="L82" s="166"/>
      <c r="M82" s="166"/>
      <c r="O82" s="166"/>
      <c r="P82" s="164"/>
      <c r="Q82" s="164"/>
      <c r="R82" s="164"/>
      <c r="S82" s="164"/>
      <c r="T82" s="164"/>
      <c r="U82" s="164"/>
      <c r="V82" s="166"/>
    </row>
    <row r="83" spans="1:22" x14ac:dyDescent="0.35">
      <c r="A83" s="133"/>
      <c r="B83" s="133" t="s">
        <v>69</v>
      </c>
      <c r="C83" s="158">
        <f>Bestämningsfaktorer!C20</f>
        <v>194316</v>
      </c>
      <c r="D83" s="169">
        <f t="shared" si="7"/>
        <v>8259169.0102192163</v>
      </c>
      <c r="E83" s="169">
        <f t="shared" si="7"/>
        <v>6316009.0102192163</v>
      </c>
      <c r="F83" s="169">
        <f t="shared" si="7"/>
        <v>2429689.0102192168</v>
      </c>
      <c r="G83" s="169">
        <f t="shared" si="7"/>
        <v>0</v>
      </c>
      <c r="H83" s="169">
        <f t="shared" si="7"/>
        <v>0</v>
      </c>
      <c r="I83" s="169">
        <f t="shared" si="7"/>
        <v>0</v>
      </c>
      <c r="J83" s="169">
        <f t="shared" si="7"/>
        <v>0</v>
      </c>
      <c r="K83" s="166"/>
      <c r="L83" s="166"/>
      <c r="M83" s="166"/>
      <c r="O83" s="166"/>
      <c r="P83" s="164"/>
      <c r="Q83" s="164"/>
      <c r="R83" s="164"/>
      <c r="S83" s="164"/>
      <c r="T83" s="164"/>
      <c r="U83" s="164"/>
      <c r="V83" s="166"/>
    </row>
    <row r="84" spans="1:22" x14ac:dyDescent="0.35">
      <c r="A84" s="133"/>
      <c r="B84" s="133" t="s">
        <v>71</v>
      </c>
      <c r="C84" s="158">
        <f>Bestämningsfaktorer!C21</f>
        <v>176193</v>
      </c>
      <c r="D84" s="169">
        <f t="shared" si="7"/>
        <v>29135997.631169677</v>
      </c>
      <c r="E84" s="169">
        <f t="shared" si="7"/>
        <v>27374067.631169677</v>
      </c>
      <c r="F84" s="169">
        <f t="shared" si="7"/>
        <v>23850207.631169677</v>
      </c>
      <c r="G84" s="169">
        <f t="shared" si="7"/>
        <v>18740012.376257304</v>
      </c>
      <c r="H84" s="169">
        <f t="shared" si="7"/>
        <v>16097117.376257302</v>
      </c>
      <c r="I84" s="169">
        <f t="shared" si="7"/>
        <v>13454222.376257302</v>
      </c>
      <c r="J84" s="169">
        <f t="shared" si="7"/>
        <v>11692292.376257302</v>
      </c>
      <c r="K84" s="170"/>
      <c r="L84" s="170"/>
      <c r="M84" s="170"/>
      <c r="O84" s="166"/>
      <c r="P84" s="164"/>
      <c r="Q84" s="164"/>
      <c r="R84" s="164"/>
      <c r="S84" s="164"/>
      <c r="T84" s="164"/>
      <c r="U84" s="164"/>
      <c r="V84" s="166"/>
    </row>
    <row r="85" spans="1:22" x14ac:dyDescent="0.35">
      <c r="A85" s="133"/>
      <c r="B85" s="133" t="s">
        <v>73</v>
      </c>
      <c r="C85" s="158">
        <f>Bestämningsfaktorer!C22</f>
        <v>68437</v>
      </c>
      <c r="D85" s="169">
        <f t="shared" si="7"/>
        <v>4280025.013205111</v>
      </c>
      <c r="E85" s="169">
        <f t="shared" si="7"/>
        <v>3595655.013205111</v>
      </c>
      <c r="F85" s="169">
        <f t="shared" si="7"/>
        <v>2226915.013205111</v>
      </c>
      <c r="G85" s="169">
        <f t="shared" si="7"/>
        <v>0</v>
      </c>
      <c r="H85" s="169">
        <f t="shared" si="7"/>
        <v>0</v>
      </c>
      <c r="I85" s="169">
        <f t="shared" si="7"/>
        <v>0</v>
      </c>
      <c r="J85" s="169">
        <f t="shared" si="7"/>
        <v>0</v>
      </c>
      <c r="K85" s="170"/>
      <c r="L85" s="170"/>
      <c r="M85" s="170"/>
      <c r="O85" s="166"/>
      <c r="P85" s="164"/>
      <c r="Q85" s="164"/>
      <c r="R85" s="164"/>
      <c r="S85" s="164"/>
      <c r="T85" s="164"/>
      <c r="U85" s="164"/>
      <c r="V85" s="166"/>
    </row>
    <row r="86" spans="1:22" x14ac:dyDescent="0.35">
      <c r="A86" s="133"/>
      <c r="B86" s="133" t="s">
        <v>75</v>
      </c>
      <c r="C86" s="158">
        <f>Bestämningsfaktorer!C23</f>
        <v>412161</v>
      </c>
      <c r="D86" s="169">
        <f t="shared" si="7"/>
        <v>9603175.0809981823</v>
      </c>
      <c r="E86" s="169">
        <f t="shared" si="7"/>
        <v>5481565.0809981823</v>
      </c>
      <c r="F86" s="169">
        <f t="shared" si="7"/>
        <v>0</v>
      </c>
      <c r="G86" s="169">
        <f t="shared" si="7"/>
        <v>0</v>
      </c>
      <c r="H86" s="169">
        <f t="shared" si="7"/>
        <v>0</v>
      </c>
      <c r="I86" s="169">
        <f t="shared" si="7"/>
        <v>0</v>
      </c>
      <c r="J86" s="169">
        <f t="shared" si="7"/>
        <v>0</v>
      </c>
      <c r="K86" s="170"/>
      <c r="L86" s="170"/>
      <c r="M86" s="170"/>
      <c r="O86" s="166"/>
      <c r="P86" s="164"/>
      <c r="Q86" s="164"/>
      <c r="R86" s="164"/>
      <c r="S86" s="164"/>
      <c r="T86" s="164"/>
      <c r="U86" s="164"/>
      <c r="V86" s="166"/>
    </row>
    <row r="87" spans="1:22" x14ac:dyDescent="0.35">
      <c r="A87" s="133"/>
      <c r="B87" s="133" t="s">
        <v>77</v>
      </c>
      <c r="C87" s="158">
        <f>Bestämningsfaktorer!C24</f>
        <v>73061</v>
      </c>
      <c r="D87" s="169">
        <f t="shared" si="7"/>
        <v>15001833.586948931</v>
      </c>
      <c r="E87" s="169">
        <f t="shared" si="7"/>
        <v>14271223.586948931</v>
      </c>
      <c r="F87" s="169">
        <f t="shared" si="7"/>
        <v>12810003.586948931</v>
      </c>
      <c r="G87" s="169">
        <f t="shared" si="7"/>
        <v>10364832.908401787</v>
      </c>
      <c r="H87" s="169">
        <f t="shared" si="7"/>
        <v>9268917.9084017873</v>
      </c>
      <c r="I87" s="169">
        <f t="shared" si="7"/>
        <v>8173002.9084017882</v>
      </c>
      <c r="J87" s="169">
        <f t="shared" si="7"/>
        <v>7442392.9084017882</v>
      </c>
      <c r="K87" s="170"/>
      <c r="L87" s="170"/>
      <c r="M87" s="170"/>
      <c r="O87" s="166"/>
      <c r="P87" s="164"/>
      <c r="Q87" s="164"/>
      <c r="R87" s="164"/>
      <c r="S87" s="164"/>
      <c r="T87" s="164"/>
      <c r="U87" s="164"/>
      <c r="V87" s="166"/>
    </row>
    <row r="88" spans="1:22" x14ac:dyDescent="0.35">
      <c r="A88" s="133"/>
      <c r="B88" s="133" t="s">
        <v>79</v>
      </c>
      <c r="C88" s="158">
        <f>Bestämningsfaktorer!C25</f>
        <v>178522</v>
      </c>
      <c r="D88" s="169">
        <f t="shared" si="7"/>
        <v>-14821994.477722883</v>
      </c>
      <c r="E88" s="169">
        <f t="shared" si="7"/>
        <v>-13036774.477722883</v>
      </c>
      <c r="F88" s="169">
        <f t="shared" si="7"/>
        <v>-9466334.4777228832</v>
      </c>
      <c r="G88" s="169">
        <f t="shared" si="7"/>
        <v>-3958665.2739862199</v>
      </c>
      <c r="H88" s="169">
        <f t="shared" si="7"/>
        <v>0</v>
      </c>
      <c r="I88" s="169">
        <f t="shared" si="7"/>
        <v>0</v>
      </c>
      <c r="J88" s="169">
        <f t="shared" si="7"/>
        <v>0</v>
      </c>
      <c r="K88" s="170"/>
      <c r="L88" s="170"/>
      <c r="M88" s="170"/>
      <c r="O88" s="166"/>
      <c r="P88" s="164"/>
      <c r="Q88" s="164"/>
      <c r="R88" s="164"/>
      <c r="S88" s="164"/>
      <c r="T88" s="164"/>
      <c r="U88" s="164"/>
      <c r="V88" s="166"/>
    </row>
    <row r="89" spans="1:22" x14ac:dyDescent="0.35">
      <c r="B89" s="16" t="s">
        <v>35</v>
      </c>
      <c r="C89" s="160">
        <f>SUM(C67:C88)</f>
        <v>5488130</v>
      </c>
      <c r="D89" s="160">
        <f t="shared" ref="D89:J89" si="8">SUM(D67:D88)</f>
        <v>-4.8428773880004883E-7</v>
      </c>
      <c r="E89" s="160">
        <f t="shared" si="8"/>
        <v>-5231580.0000004768</v>
      </c>
      <c r="F89" s="160">
        <f t="shared" si="8"/>
        <v>-12933085.080998659</v>
      </c>
      <c r="G89" s="160">
        <f t="shared" si="8"/>
        <v>-19597455.822213288</v>
      </c>
      <c r="H89" s="160">
        <f t="shared" si="8"/>
        <v>-1418495.7379847746</v>
      </c>
      <c r="I89" s="160">
        <f t="shared" si="8"/>
        <v>19796234.949916426</v>
      </c>
      <c r="J89" s="160">
        <f t="shared" si="8"/>
        <v>18567759.358926836</v>
      </c>
      <c r="K89" s="170"/>
      <c r="L89" s="170"/>
      <c r="M89" s="170"/>
      <c r="O89" s="166"/>
      <c r="P89" s="164"/>
      <c r="Q89" s="164"/>
      <c r="R89" s="164"/>
      <c r="S89" s="164"/>
      <c r="T89" s="164"/>
      <c r="U89" s="164"/>
      <c r="V89" s="166"/>
    </row>
    <row r="90" spans="1:22" x14ac:dyDescent="0.35">
      <c r="B90" s="155"/>
      <c r="C90" s="26"/>
      <c r="D90" s="169"/>
      <c r="E90" s="169"/>
      <c r="F90" s="169"/>
      <c r="G90" s="169"/>
      <c r="H90" s="169"/>
      <c r="I90" s="169"/>
      <c r="J90" s="170"/>
      <c r="K90" s="170"/>
      <c r="L90" s="170"/>
      <c r="M90" s="170"/>
      <c r="O90" s="166"/>
      <c r="P90" s="164"/>
      <c r="Q90" s="164"/>
      <c r="R90" s="164"/>
      <c r="S90" s="164"/>
      <c r="T90" s="164"/>
      <c r="U90" s="164"/>
      <c r="V90" s="166"/>
    </row>
    <row r="91" spans="1:22" x14ac:dyDescent="0.35">
      <c r="A91" s="217"/>
      <c r="B91" s="24"/>
      <c r="C91" s="24"/>
      <c r="D91" s="169"/>
      <c r="E91" s="169"/>
      <c r="F91" s="169"/>
      <c r="G91" s="169"/>
      <c r="H91" s="169"/>
      <c r="I91" s="170"/>
      <c r="J91" s="170"/>
      <c r="K91" s="170"/>
      <c r="L91" s="170"/>
      <c r="M91" s="170"/>
      <c r="N91" s="166"/>
      <c r="O91" s="122"/>
      <c r="P91" s="164"/>
      <c r="Q91" s="164"/>
      <c r="R91" s="164"/>
      <c r="S91" s="164"/>
      <c r="T91" s="164"/>
      <c r="U91" s="164"/>
      <c r="V91" s="166"/>
    </row>
    <row r="92" spans="1:22" x14ac:dyDescent="0.35">
      <c r="A92" s="217"/>
      <c r="B92" s="24"/>
      <c r="C92" s="24"/>
      <c r="D92" s="169"/>
      <c r="E92" s="169"/>
      <c r="F92" s="169"/>
      <c r="G92" s="169"/>
      <c r="H92" s="169"/>
      <c r="I92" s="170"/>
      <c r="J92" s="170"/>
      <c r="K92" s="170"/>
      <c r="L92" s="170"/>
      <c r="M92" s="170"/>
      <c r="N92" s="166"/>
      <c r="O92" s="122"/>
      <c r="P92" s="164"/>
      <c r="Q92" s="164"/>
      <c r="R92" s="164"/>
      <c r="S92" s="164"/>
      <c r="T92" s="164"/>
      <c r="U92" s="164"/>
      <c r="V92" s="166"/>
    </row>
    <row r="93" spans="1:22" x14ac:dyDescent="0.35">
      <c r="A93" s="217"/>
      <c r="B93" s="24"/>
      <c r="C93" s="24"/>
      <c r="D93" s="169"/>
      <c r="E93" s="169"/>
      <c r="F93" s="169"/>
      <c r="G93" s="169"/>
      <c r="H93" s="169"/>
      <c r="I93" s="170"/>
      <c r="J93" s="170"/>
      <c r="K93" s="170"/>
      <c r="L93" s="170"/>
      <c r="M93" s="170"/>
      <c r="N93" s="166"/>
      <c r="O93" s="122"/>
      <c r="P93" s="164"/>
      <c r="Q93" s="164"/>
      <c r="R93" s="164"/>
      <c r="S93" s="164"/>
      <c r="T93" s="164"/>
      <c r="U93" s="164"/>
      <c r="V93" s="166"/>
    </row>
    <row r="94" spans="1:22" x14ac:dyDescent="0.35">
      <c r="A94" s="217"/>
      <c r="B94" s="24"/>
      <c r="C94" s="24"/>
      <c r="D94" s="169"/>
      <c r="E94" s="169"/>
      <c r="F94" s="169"/>
      <c r="G94" s="169"/>
      <c r="H94" s="169"/>
      <c r="I94" s="170"/>
      <c r="J94" s="170"/>
      <c r="K94" s="170"/>
      <c r="L94" s="170"/>
      <c r="M94" s="170"/>
      <c r="N94" s="166"/>
      <c r="O94" s="122"/>
      <c r="P94" s="164"/>
      <c r="Q94" s="164"/>
      <c r="R94" s="164"/>
      <c r="S94" s="164"/>
      <c r="T94" s="164"/>
      <c r="U94" s="164"/>
      <c r="V94" s="166"/>
    </row>
    <row r="95" spans="1:22" x14ac:dyDescent="0.35">
      <c r="A95" s="217"/>
      <c r="B95" s="24"/>
      <c r="C95" s="24"/>
      <c r="D95" s="169"/>
      <c r="E95" s="169"/>
      <c r="F95" s="169"/>
      <c r="G95" s="169"/>
      <c r="H95" s="169"/>
      <c r="I95" s="170"/>
      <c r="J95" s="170"/>
      <c r="K95" s="170"/>
      <c r="L95" s="170"/>
      <c r="M95" s="170"/>
      <c r="N95" s="166"/>
      <c r="O95" s="122"/>
      <c r="P95" s="164"/>
      <c r="Q95" s="164"/>
      <c r="R95" s="164"/>
      <c r="S95" s="164"/>
      <c r="T95" s="164"/>
      <c r="U95" s="164"/>
      <c r="V95" s="166"/>
    </row>
    <row r="96" spans="1:22" x14ac:dyDescent="0.35">
      <c r="A96" s="217"/>
      <c r="B96" s="24"/>
      <c r="C96" s="24"/>
      <c r="D96" s="169"/>
      <c r="E96" s="169"/>
      <c r="F96" s="169"/>
      <c r="G96" s="169"/>
      <c r="H96" s="169"/>
      <c r="I96" s="170"/>
      <c r="J96" s="170"/>
      <c r="K96" s="170"/>
      <c r="L96" s="170"/>
      <c r="M96" s="170"/>
      <c r="N96" s="166"/>
      <c r="O96" s="122"/>
      <c r="P96" s="164"/>
      <c r="Q96" s="164"/>
      <c r="R96" s="164"/>
      <c r="S96" s="164"/>
      <c r="T96" s="164"/>
      <c r="U96" s="164"/>
      <c r="V96" s="166"/>
    </row>
    <row r="97" spans="1:30" x14ac:dyDescent="0.35">
      <c r="A97" s="217"/>
      <c r="B97" s="24"/>
      <c r="C97" s="24"/>
      <c r="D97" s="169"/>
      <c r="E97" s="169"/>
      <c r="F97" s="169"/>
      <c r="G97" s="169"/>
      <c r="H97" s="169"/>
      <c r="I97" s="170"/>
      <c r="J97" s="170"/>
      <c r="K97" s="170"/>
      <c r="L97" s="170"/>
      <c r="M97" s="170"/>
      <c r="N97" s="166"/>
      <c r="O97" s="122"/>
      <c r="P97" s="164"/>
      <c r="Q97" s="164"/>
      <c r="R97" s="164"/>
      <c r="S97" s="164"/>
      <c r="T97" s="164"/>
      <c r="U97" s="164"/>
      <c r="V97" s="166"/>
    </row>
    <row r="98" spans="1:30" x14ac:dyDescent="0.35">
      <c r="A98" s="25"/>
      <c r="B98" s="24"/>
      <c r="C98" s="24"/>
      <c r="D98" s="169"/>
      <c r="E98" s="169"/>
      <c r="F98" s="169"/>
      <c r="G98" s="169"/>
      <c r="H98" s="169"/>
      <c r="I98" s="170"/>
      <c r="J98" s="170"/>
      <c r="K98" s="170"/>
      <c r="L98" s="170"/>
      <c r="M98" s="170"/>
      <c r="N98" s="166"/>
      <c r="P98" s="164"/>
      <c r="Q98" s="164"/>
      <c r="R98" s="164"/>
      <c r="S98" s="164"/>
      <c r="T98" s="164"/>
      <c r="U98" s="164"/>
      <c r="V98" s="166"/>
    </row>
    <row r="99" spans="1:30" x14ac:dyDescent="0.35">
      <c r="A99" s="25"/>
      <c r="B99" s="24"/>
      <c r="C99" s="24"/>
      <c r="D99" s="169"/>
      <c r="E99" s="169"/>
      <c r="F99" s="169"/>
      <c r="G99" s="169"/>
      <c r="H99" s="169"/>
      <c r="I99" s="170"/>
      <c r="J99" s="170"/>
      <c r="K99" s="170"/>
      <c r="L99" s="170"/>
      <c r="M99" s="170"/>
      <c r="N99" s="166"/>
      <c r="P99" s="164"/>
      <c r="Q99" s="164"/>
      <c r="R99" s="164"/>
      <c r="S99" s="164"/>
      <c r="T99" s="164"/>
      <c r="U99" s="164"/>
      <c r="V99" s="166"/>
    </row>
    <row r="100" spans="1:30" x14ac:dyDescent="0.35">
      <c r="A100" s="25"/>
      <c r="B100" s="24"/>
      <c r="C100" s="24"/>
      <c r="D100" s="169"/>
      <c r="E100" s="169"/>
      <c r="F100" s="169"/>
      <c r="G100" s="169"/>
      <c r="H100" s="169"/>
      <c r="I100" s="170"/>
      <c r="J100" s="170"/>
      <c r="K100" s="170"/>
      <c r="L100" s="170"/>
      <c r="M100" s="170"/>
      <c r="N100" s="166"/>
      <c r="P100" s="164"/>
      <c r="Q100" s="164"/>
      <c r="R100" s="164"/>
      <c r="S100" s="164"/>
      <c r="T100" s="164"/>
      <c r="U100" s="164"/>
      <c r="V100" s="166"/>
    </row>
    <row r="101" spans="1:30" x14ac:dyDescent="0.35">
      <c r="A101" s="25"/>
      <c r="B101" s="155"/>
      <c r="C101" s="155"/>
      <c r="D101" s="169"/>
      <c r="E101" s="169"/>
      <c r="F101" s="169"/>
      <c r="G101" s="169"/>
      <c r="H101" s="169"/>
      <c r="I101" s="170"/>
      <c r="J101" s="170"/>
      <c r="K101" s="170"/>
      <c r="L101" s="170"/>
      <c r="M101" s="170"/>
      <c r="N101" s="166"/>
      <c r="P101" s="164"/>
      <c r="Q101" s="164"/>
      <c r="R101" s="164"/>
      <c r="S101" s="164"/>
      <c r="T101" s="164"/>
      <c r="U101" s="164"/>
      <c r="V101" s="166"/>
    </row>
    <row r="102" spans="1:30" x14ac:dyDescent="0.35">
      <c r="B102" s="155"/>
      <c r="C102" s="155"/>
      <c r="D102" s="169"/>
      <c r="E102" s="169"/>
      <c r="F102" s="169"/>
      <c r="G102" s="169"/>
      <c r="H102" s="169"/>
      <c r="I102" s="170"/>
      <c r="J102" s="170"/>
      <c r="K102" s="170"/>
      <c r="L102" s="170"/>
      <c r="M102" s="170"/>
      <c r="N102" s="166"/>
      <c r="P102" s="164"/>
      <c r="Q102" s="164"/>
      <c r="R102" s="164"/>
      <c r="S102" s="164"/>
      <c r="T102" s="164"/>
      <c r="U102" s="164"/>
      <c r="V102" s="166"/>
    </row>
    <row r="105" spans="1:30" x14ac:dyDescent="0.35">
      <c r="X105" s="164"/>
      <c r="Y105" s="164"/>
      <c r="Z105" s="164"/>
      <c r="AA105" s="164"/>
      <c r="AB105" s="164"/>
      <c r="AC105" s="164"/>
      <c r="AD105" s="164"/>
    </row>
    <row r="106" spans="1:30" x14ac:dyDescent="0.35">
      <c r="X106" s="164"/>
      <c r="Y106" s="164"/>
      <c r="Z106" s="164"/>
      <c r="AA106" s="164"/>
      <c r="AB106" s="164"/>
      <c r="AC106" s="164"/>
      <c r="AD106" s="164"/>
    </row>
    <row r="107" spans="1:30" x14ac:dyDescent="0.35">
      <c r="X107" s="218"/>
      <c r="Y107" s="164"/>
      <c r="Z107" s="164"/>
      <c r="AA107" s="164"/>
      <c r="AB107" s="164"/>
      <c r="AC107" s="164"/>
      <c r="AD107" s="164"/>
    </row>
    <row r="108" spans="1:30" x14ac:dyDescent="0.35">
      <c r="X108" s="164"/>
      <c r="Y108" s="164"/>
      <c r="Z108" s="164"/>
      <c r="AA108" s="164"/>
      <c r="AB108" s="164"/>
      <c r="AC108" s="164"/>
      <c r="AD108" s="164"/>
    </row>
    <row r="109" spans="1:30" x14ac:dyDescent="0.35">
      <c r="X109" s="164"/>
      <c r="Y109" s="164"/>
      <c r="Z109" s="164"/>
      <c r="AA109" s="164"/>
      <c r="AB109" s="164"/>
      <c r="AC109" s="164"/>
      <c r="AD109" s="164"/>
    </row>
    <row r="110" spans="1:30" x14ac:dyDescent="0.35">
      <c r="X110" s="164"/>
      <c r="Y110" s="164"/>
      <c r="Z110" s="164"/>
      <c r="AA110" s="164"/>
      <c r="AB110" s="164"/>
      <c r="AC110" s="164"/>
      <c r="AD110" s="164"/>
    </row>
    <row r="111" spans="1:30" x14ac:dyDescent="0.35">
      <c r="E111" s="75"/>
      <c r="F111" s="75"/>
      <c r="G111" s="75"/>
      <c r="H111" s="75"/>
      <c r="I111" s="75"/>
      <c r="J111" s="75"/>
      <c r="K111" s="75"/>
      <c r="L111" s="75"/>
      <c r="M111" s="75"/>
      <c r="N111" s="125"/>
      <c r="O111" s="125"/>
      <c r="P111" s="125"/>
      <c r="Q111" s="204"/>
      <c r="R111" s="204"/>
      <c r="S111" s="204"/>
      <c r="T111" s="204"/>
      <c r="U111" s="204"/>
      <c r="V111" s="204"/>
      <c r="W111" s="204"/>
      <c r="X111" s="164"/>
      <c r="Y111" s="164"/>
      <c r="Z111" s="164"/>
      <c r="AA111" s="164"/>
      <c r="AB111" s="164"/>
      <c r="AC111" s="164"/>
      <c r="AD111" s="164"/>
    </row>
    <row r="112" spans="1:30" x14ac:dyDescent="0.35">
      <c r="X112" s="164"/>
      <c r="Y112" s="164"/>
      <c r="Z112" s="164"/>
      <c r="AA112" s="164"/>
      <c r="AB112" s="164"/>
      <c r="AC112" s="164"/>
      <c r="AD112" s="164"/>
    </row>
    <row r="113" spans="24:30" x14ac:dyDescent="0.35">
      <c r="X113" s="164"/>
      <c r="Y113" s="164"/>
      <c r="Z113" s="164"/>
      <c r="AA113" s="164"/>
      <c r="AB113" s="164"/>
      <c r="AC113" s="164"/>
      <c r="AD113" s="164"/>
    </row>
    <row r="114" spans="24:30" x14ac:dyDescent="0.35">
      <c r="X114" s="164"/>
      <c r="Y114" s="164"/>
      <c r="Z114" s="164"/>
      <c r="AA114" s="164"/>
      <c r="AB114" s="164"/>
      <c r="AC114" s="164"/>
      <c r="AD114" s="164"/>
    </row>
    <row r="115" spans="24:30" x14ac:dyDescent="0.35">
      <c r="X115" s="164"/>
      <c r="Y115" s="164"/>
      <c r="Z115" s="164"/>
      <c r="AA115" s="164"/>
      <c r="AB115" s="164"/>
      <c r="AC115" s="164"/>
      <c r="AD115" s="164"/>
    </row>
    <row r="116" spans="24:30" x14ac:dyDescent="0.35">
      <c r="X116" s="164"/>
      <c r="Y116" s="164"/>
      <c r="Z116" s="164"/>
      <c r="AA116" s="164"/>
      <c r="AB116" s="164"/>
      <c r="AC116" s="164"/>
      <c r="AD116" s="164"/>
    </row>
    <row r="117" spans="24:30" x14ac:dyDescent="0.35">
      <c r="X117" s="164"/>
      <c r="Y117" s="164"/>
      <c r="Z117" s="164"/>
      <c r="AA117" s="164"/>
      <c r="AB117" s="164"/>
      <c r="AC117" s="164"/>
      <c r="AD117" s="164"/>
    </row>
    <row r="118" spans="24:30" x14ac:dyDescent="0.35">
      <c r="X118" s="164"/>
      <c r="Y118" s="164"/>
      <c r="Z118" s="164"/>
      <c r="AA118" s="164"/>
      <c r="AB118" s="164"/>
      <c r="AC118" s="164"/>
      <c r="AD118" s="164"/>
    </row>
    <row r="119" spans="24:30" x14ac:dyDescent="0.35">
      <c r="X119" s="164"/>
      <c r="Y119" s="164"/>
      <c r="Z119" s="164"/>
      <c r="AA119" s="164"/>
      <c r="AB119" s="164"/>
      <c r="AC119" s="164"/>
      <c r="AD119" s="164"/>
    </row>
    <row r="120" spans="24:30" x14ac:dyDescent="0.35">
      <c r="X120" s="164"/>
      <c r="Y120" s="164"/>
      <c r="Z120" s="164"/>
      <c r="AA120" s="164"/>
      <c r="AB120" s="164"/>
      <c r="AC120" s="164"/>
      <c r="AD120" s="164"/>
    </row>
    <row r="121" spans="24:30" x14ac:dyDescent="0.35">
      <c r="X121" s="164"/>
      <c r="Y121" s="164"/>
      <c r="Z121" s="164"/>
      <c r="AA121" s="164"/>
      <c r="AB121" s="164"/>
      <c r="AC121" s="164"/>
      <c r="AD121" s="164"/>
    </row>
    <row r="122" spans="24:30" x14ac:dyDescent="0.35">
      <c r="X122" s="164"/>
      <c r="Y122" s="164"/>
      <c r="Z122" s="164"/>
      <c r="AA122" s="164"/>
      <c r="AB122" s="164"/>
      <c r="AC122" s="164"/>
      <c r="AD122" s="164"/>
    </row>
    <row r="123" spans="24:30" x14ac:dyDescent="0.35">
      <c r="X123" s="164"/>
      <c r="Y123" s="164"/>
      <c r="Z123" s="164"/>
      <c r="AA123" s="164"/>
      <c r="AB123" s="164"/>
      <c r="AC123" s="164"/>
      <c r="AD123" s="164"/>
    </row>
    <row r="124" spans="24:30" x14ac:dyDescent="0.35">
      <c r="X124" s="164"/>
      <c r="Y124" s="164"/>
      <c r="Z124" s="164"/>
      <c r="AA124" s="164"/>
      <c r="AB124" s="164"/>
      <c r="AC124" s="164"/>
      <c r="AD124" s="164"/>
    </row>
    <row r="125" spans="24:30" x14ac:dyDescent="0.35">
      <c r="X125" s="164"/>
      <c r="Y125" s="164"/>
      <c r="Z125" s="164"/>
      <c r="AA125" s="164"/>
      <c r="AB125" s="164"/>
      <c r="AC125" s="164"/>
      <c r="AD125" s="164"/>
    </row>
    <row r="126" spans="24:30" x14ac:dyDescent="0.35">
      <c r="X126" s="164"/>
      <c r="Y126" s="164"/>
      <c r="Z126" s="164"/>
      <c r="AA126" s="164"/>
      <c r="AB126" s="164"/>
      <c r="AC126" s="164"/>
      <c r="AD126" s="164"/>
    </row>
  </sheetData>
  <mergeCells count="1">
    <mergeCell ref="L9:M9"/>
  </mergeCells>
  <conditionalFormatting sqref="O21:O22">
    <cfRule type="cellIs" dxfId="417" priority="1" stopIfTrue="1" operator="lessThan">
      <formula>0</formula>
    </cfRule>
    <cfRule type="cellIs" dxfId="416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G71"/>
  <sheetViews>
    <sheetView topLeftCell="D1" zoomScale="70" zoomScaleNormal="70" workbookViewId="0">
      <selection activeCell="L1" sqref="L1"/>
    </sheetView>
  </sheetViews>
  <sheetFormatPr defaultColWidth="8.4140625" defaultRowHeight="10.5" x14ac:dyDescent="0.25"/>
  <cols>
    <col min="1" max="1" width="22.6640625" style="280" customWidth="1"/>
    <col min="2" max="2" width="15.58203125" style="280" customWidth="1"/>
    <col min="3" max="3" width="12.83203125" style="280" customWidth="1"/>
    <col min="4" max="4" width="32.1640625" style="280" customWidth="1"/>
    <col min="5" max="5" width="31.9140625" style="280" customWidth="1"/>
    <col min="6" max="6" width="29.33203125" style="280" customWidth="1"/>
    <col min="7" max="7" width="18.1640625" style="280" customWidth="1"/>
    <col min="8" max="8" width="18.6640625" style="280" customWidth="1"/>
    <col min="9" max="9" width="25.6640625" style="280" customWidth="1"/>
    <col min="10" max="10" width="27.9140625" style="280" customWidth="1"/>
    <col min="11" max="11" width="14.9140625" style="280" customWidth="1"/>
    <col min="12" max="12" width="11.1640625" style="280" customWidth="1"/>
    <col min="13" max="13" width="10.83203125" style="280" customWidth="1"/>
    <col min="14" max="14" width="8.6640625" style="280" customWidth="1"/>
    <col min="15" max="15" width="16.33203125" style="280" bestFit="1" customWidth="1"/>
    <col min="16" max="16" width="11.6640625" style="489" bestFit="1" customWidth="1"/>
    <col min="17" max="17" width="3.83203125" style="489" bestFit="1" customWidth="1"/>
    <col min="18" max="18" width="7.6640625" style="489" bestFit="1" customWidth="1"/>
    <col min="19" max="19" width="8.4140625" style="489"/>
    <col min="20" max="20" width="13.1640625" style="489" bestFit="1" customWidth="1"/>
    <col min="21" max="21" width="12.83203125" style="489" bestFit="1" customWidth="1"/>
    <col min="22" max="22" width="9.1640625" style="489" bestFit="1" customWidth="1"/>
    <col min="23" max="23" width="12.1640625" style="489" bestFit="1" customWidth="1"/>
    <col min="24" max="26" width="10.4140625" style="489" bestFit="1" customWidth="1"/>
    <col min="27" max="28" width="8.4140625" style="489"/>
    <col min="29" max="29" width="13.1640625" style="489" bestFit="1" customWidth="1"/>
    <col min="30" max="30" width="14.5" style="489" bestFit="1" customWidth="1"/>
    <col min="31" max="31" width="13.1640625" style="281" bestFit="1" customWidth="1"/>
    <col min="32" max="32" width="12.08203125" style="281" customWidth="1"/>
    <col min="33" max="34" width="8.4140625" style="281"/>
    <col min="35" max="35" width="10.83203125" style="281" bestFit="1" customWidth="1"/>
    <col min="36" max="36" width="6.1640625" style="281" bestFit="1" customWidth="1"/>
    <col min="37" max="39" width="8.4140625" style="281"/>
    <col min="40" max="40" width="22.6640625" style="281" customWidth="1"/>
    <col min="41" max="16384" width="8.4140625" style="281"/>
  </cols>
  <sheetData>
    <row r="1" spans="1:33" ht="18" x14ac:dyDescent="0.4">
      <c r="A1" s="444" t="s">
        <v>792</v>
      </c>
      <c r="T1" s="281"/>
      <c r="U1" s="281"/>
      <c r="AF1" s="282"/>
    </row>
    <row r="2" spans="1:33" s="287" customFormat="1" ht="15.5" x14ac:dyDescent="0.35">
      <c r="A2" s="283" t="s">
        <v>475</v>
      </c>
      <c r="B2" s="283"/>
      <c r="C2" s="284"/>
      <c r="D2" s="284"/>
      <c r="E2" s="284"/>
      <c r="F2" s="284"/>
      <c r="G2" s="284"/>
      <c r="H2" s="284"/>
      <c r="I2" s="284"/>
      <c r="J2" s="284"/>
      <c r="K2" s="285"/>
      <c r="L2" s="286"/>
      <c r="M2" s="286"/>
      <c r="N2" s="286"/>
      <c r="O2" s="28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F2" s="288"/>
    </row>
    <row r="3" spans="1:33" s="287" customFormat="1" ht="62" x14ac:dyDescent="0.35">
      <c r="A3" s="319" t="s">
        <v>22</v>
      </c>
      <c r="B3" s="319" t="s">
        <v>34</v>
      </c>
      <c r="C3" s="319" t="s">
        <v>388</v>
      </c>
      <c r="D3" s="320" t="s">
        <v>393</v>
      </c>
      <c r="E3" s="320" t="s">
        <v>476</v>
      </c>
      <c r="F3" s="320" t="s">
        <v>392</v>
      </c>
      <c r="G3" s="320" t="s">
        <v>477</v>
      </c>
      <c r="H3" s="320" t="s">
        <v>379</v>
      </c>
      <c r="I3" s="321" t="s">
        <v>394</v>
      </c>
      <c r="J3" s="322" t="s">
        <v>478</v>
      </c>
      <c r="K3" s="289"/>
      <c r="L3" s="286"/>
      <c r="M3" s="286"/>
      <c r="N3" s="286"/>
      <c r="O3" s="28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F3" s="290"/>
      <c r="AG3" s="290"/>
    </row>
    <row r="4" spans="1:33" s="287" customFormat="1" ht="15.5" x14ac:dyDescent="0.35">
      <c r="A4" s="291">
        <v>31</v>
      </c>
      <c r="B4" s="292" t="s">
        <v>37</v>
      </c>
      <c r="C4" s="293">
        <f>Bestämningsfaktor_kommunvis!M4</f>
        <v>648042</v>
      </c>
      <c r="D4" s="294">
        <f>Bestämningsfaktor_kommunvis!N4</f>
        <v>36533</v>
      </c>
      <c r="E4" s="294"/>
      <c r="F4" s="294">
        <f>Bestämningsfaktor_kommunvis!P4</f>
        <v>101825</v>
      </c>
      <c r="G4" s="294">
        <f>Bestämningsfaktor_kommunvis!Q4</f>
        <v>214.25</v>
      </c>
      <c r="H4" s="295">
        <f t="shared" ref="H4:H25" si="0">C4/G4</f>
        <v>3024.7001166861141</v>
      </c>
      <c r="I4" s="296">
        <f t="shared" ref="I4:I25" si="1">$H$26/H4</f>
        <v>6.0007674945306757E-3</v>
      </c>
      <c r="J4" s="296"/>
      <c r="K4" s="297"/>
      <c r="L4" s="286"/>
      <c r="M4" s="286"/>
      <c r="N4" s="286"/>
      <c r="O4" s="28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298"/>
      <c r="AF4" s="299"/>
    </row>
    <row r="5" spans="1:33" s="287" customFormat="1" ht="15.5" x14ac:dyDescent="0.35">
      <c r="A5" s="291">
        <v>32</v>
      </c>
      <c r="B5" s="292" t="s">
        <v>39</v>
      </c>
      <c r="C5" s="293">
        <f>Bestämningsfaktor_kommunvis!M5</f>
        <v>264420</v>
      </c>
      <c r="D5" s="294">
        <f>Bestämningsfaktor_kommunvis!N5</f>
        <v>6024</v>
      </c>
      <c r="E5" s="294"/>
      <c r="F5" s="294">
        <f>Bestämningsfaktor_kommunvis!P5</f>
        <v>47021</v>
      </c>
      <c r="G5" s="294">
        <f>Bestämningsfaktor_kommunvis!Q5</f>
        <v>269</v>
      </c>
      <c r="H5" s="295">
        <f t="shared" si="0"/>
        <v>982.97397769516726</v>
      </c>
      <c r="I5" s="296">
        <f t="shared" si="1"/>
        <v>1.8464906043058938E-2</v>
      </c>
      <c r="J5" s="296"/>
      <c r="K5" s="297"/>
      <c r="L5" s="286"/>
      <c r="M5" s="286"/>
      <c r="N5" s="286"/>
      <c r="O5" s="28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298"/>
      <c r="AF5" s="299"/>
    </row>
    <row r="6" spans="1:33" s="287" customFormat="1" ht="15.5" x14ac:dyDescent="0.35">
      <c r="A6" s="291">
        <v>33</v>
      </c>
      <c r="B6" s="292" t="s">
        <v>41</v>
      </c>
      <c r="C6" s="293">
        <f>Bestämningsfaktor_kommunvis!M6</f>
        <v>464302</v>
      </c>
      <c r="D6" s="294">
        <f>Bestämningsfaktor_kommunvis!N6</f>
        <v>57854</v>
      </c>
      <c r="E6" s="294"/>
      <c r="F6" s="294">
        <f>Bestämningsfaktor_kommunvis!P6</f>
        <v>58165</v>
      </c>
      <c r="G6" s="294">
        <f>Bestämningsfaktor_kommunvis!Q6</f>
        <v>4244.66</v>
      </c>
      <c r="H6" s="295">
        <f t="shared" si="0"/>
        <v>109.38496840736362</v>
      </c>
      <c r="I6" s="296">
        <f t="shared" si="1"/>
        <v>0.16593250795957915</v>
      </c>
      <c r="J6" s="296"/>
      <c r="K6" s="297"/>
      <c r="L6" s="286"/>
      <c r="M6" s="286"/>
      <c r="N6" s="286"/>
      <c r="O6" s="28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298"/>
      <c r="AF6" s="299"/>
    </row>
    <row r="7" spans="1:33" s="287" customFormat="1" ht="15.5" x14ac:dyDescent="0.35">
      <c r="A7" s="291">
        <v>34</v>
      </c>
      <c r="B7" s="292" t="s">
        <v>43</v>
      </c>
      <c r="C7" s="293">
        <f>Bestämningsfaktor_kommunvis!M7</f>
        <v>97263</v>
      </c>
      <c r="D7" s="294">
        <f>Bestämningsfaktor_kommunvis!N7</f>
        <v>28515</v>
      </c>
      <c r="E7" s="294"/>
      <c r="F7" s="294">
        <f>Bestämningsfaktor_kommunvis!P7</f>
        <v>5441</v>
      </c>
      <c r="G7" s="294">
        <f>Bestämningsfaktor_kommunvis!Q7</f>
        <v>2701.49</v>
      </c>
      <c r="H7" s="295">
        <f t="shared" si="0"/>
        <v>36.003464754635409</v>
      </c>
      <c r="I7" s="296">
        <f t="shared" si="1"/>
        <v>0.50413265124924711</v>
      </c>
      <c r="J7" s="296"/>
      <c r="K7" s="297"/>
      <c r="L7" s="286"/>
      <c r="M7" s="286"/>
      <c r="N7" s="286"/>
      <c r="O7" s="28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298"/>
      <c r="AF7" s="299"/>
    </row>
    <row r="8" spans="1:33" s="287" customFormat="1" ht="15.5" x14ac:dyDescent="0.35">
      <c r="A8" s="300">
        <v>35</v>
      </c>
      <c r="B8" s="301" t="s">
        <v>45</v>
      </c>
      <c r="C8" s="293">
        <f>Bestämningsfaktor_kommunvis!M8</f>
        <v>196997</v>
      </c>
      <c r="D8" s="294"/>
      <c r="E8" s="294"/>
      <c r="F8" s="294">
        <f>Bestämningsfaktor_kommunvis!P8</f>
        <v>9952</v>
      </c>
      <c r="G8" s="294">
        <f>Bestämningsfaktor_kommunvis!Q8</f>
        <v>1668.93</v>
      </c>
      <c r="H8" s="302">
        <f t="shared" si="0"/>
        <v>118.03790452565416</v>
      </c>
      <c r="I8" s="303">
        <f t="shared" si="1"/>
        <v>0.15376858996144219</v>
      </c>
      <c r="J8" s="303"/>
      <c r="K8" s="304"/>
      <c r="L8" s="286"/>
      <c r="M8" s="286"/>
      <c r="N8" s="286"/>
      <c r="O8" s="28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298"/>
      <c r="AF8" s="299"/>
    </row>
    <row r="9" spans="1:33" s="287" customFormat="1" ht="15.5" x14ac:dyDescent="0.35">
      <c r="A9" s="286">
        <v>2</v>
      </c>
      <c r="B9" s="286" t="s">
        <v>47</v>
      </c>
      <c r="C9" s="293">
        <f>Bestämningsfaktor_kommunvis!M9</f>
        <v>478582</v>
      </c>
      <c r="D9" s="294">
        <f>Bestämningsfaktor_kommunvis!N9</f>
        <v>27138</v>
      </c>
      <c r="E9" s="294"/>
      <c r="F9" s="294">
        <f>Bestämningsfaktor_kommunvis!P9</f>
        <v>34181</v>
      </c>
      <c r="G9" s="294">
        <f>Bestämningsfaktor_kommunvis!Q9</f>
        <v>10664.529999999999</v>
      </c>
      <c r="H9" s="295">
        <f t="shared" si="0"/>
        <v>44.876051734112991</v>
      </c>
      <c r="I9" s="296">
        <f t="shared" si="1"/>
        <v>0.40445898067088354</v>
      </c>
      <c r="J9" s="305">
        <v>22651</v>
      </c>
      <c r="K9" s="297"/>
      <c r="L9" s="286"/>
      <c r="M9" s="286"/>
      <c r="N9" s="286"/>
      <c r="O9" s="28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298"/>
      <c r="AF9" s="299"/>
    </row>
    <row r="10" spans="1:33" s="287" customFormat="1" ht="15.5" x14ac:dyDescent="0.35">
      <c r="A10" s="286">
        <v>4</v>
      </c>
      <c r="B10" s="286" t="s">
        <v>49</v>
      </c>
      <c r="C10" s="293">
        <f>Bestämningsfaktor_kommunvis!M10</f>
        <v>218624</v>
      </c>
      <c r="D10" s="294"/>
      <c r="E10" s="294"/>
      <c r="F10" s="294">
        <f>Bestämningsfaktor_kommunvis!P10</f>
        <v>7632</v>
      </c>
      <c r="G10" s="294">
        <f>Bestämningsfaktor_kommunvis!Q10</f>
        <v>7820.3099999999995</v>
      </c>
      <c r="H10" s="295">
        <f t="shared" si="0"/>
        <v>27.955925020875135</v>
      </c>
      <c r="I10" s="296">
        <f t="shared" si="1"/>
        <v>0.64925492994275424</v>
      </c>
      <c r="J10" s="296"/>
      <c r="K10" s="297"/>
      <c r="L10" s="286"/>
      <c r="M10" s="286"/>
      <c r="N10" s="286"/>
      <c r="O10" s="28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298"/>
      <c r="AF10" s="299"/>
    </row>
    <row r="11" spans="1:33" s="287" customFormat="1" ht="15.5" x14ac:dyDescent="0.35">
      <c r="A11" s="286">
        <v>5</v>
      </c>
      <c r="B11" s="286" t="s">
        <v>51</v>
      </c>
      <c r="C11" s="293">
        <f>Bestämningsfaktor_kommunvis!M11</f>
        <v>171364</v>
      </c>
      <c r="D11" s="294"/>
      <c r="E11" s="294"/>
      <c r="F11" s="294">
        <f>Bestämningsfaktor_kommunvis!P11</f>
        <v>7001</v>
      </c>
      <c r="G11" s="294">
        <f>Bestämningsfaktor_kommunvis!Q11</f>
        <v>5198.75</v>
      </c>
      <c r="H11" s="295">
        <f t="shared" si="0"/>
        <v>32.96253907189228</v>
      </c>
      <c r="I11" s="296">
        <f t="shared" si="1"/>
        <v>0.55064089878896605</v>
      </c>
      <c r="J11" s="296"/>
      <c r="K11" s="297"/>
      <c r="L11" s="286"/>
      <c r="M11" s="286"/>
      <c r="N11" s="286"/>
      <c r="O11" s="28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298"/>
      <c r="AF11" s="299"/>
    </row>
    <row r="12" spans="1:33" s="287" customFormat="1" ht="15.5" x14ac:dyDescent="0.35">
      <c r="A12" s="286">
        <v>6</v>
      </c>
      <c r="B12" s="286" t="s">
        <v>53</v>
      </c>
      <c r="C12" s="293">
        <f>Bestämningsfaktor_kommunvis!M12</f>
        <v>517333</v>
      </c>
      <c r="D12" s="294"/>
      <c r="E12" s="294"/>
      <c r="F12" s="294">
        <f>Bestämningsfaktor_kommunvis!P12</f>
        <v>24997</v>
      </c>
      <c r="G12" s="294">
        <f>Bestämningsfaktor_kommunvis!Q12</f>
        <v>13248.210000000003</v>
      </c>
      <c r="H12" s="295">
        <f t="shared" si="0"/>
        <v>39.049275336064262</v>
      </c>
      <c r="I12" s="296">
        <f t="shared" si="1"/>
        <v>0.46481072912895055</v>
      </c>
      <c r="J12" s="296"/>
      <c r="K12" s="297"/>
      <c r="L12" s="286"/>
      <c r="M12" s="286"/>
      <c r="N12" s="286"/>
      <c r="O12" s="28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298"/>
      <c r="AF12" s="299"/>
    </row>
    <row r="13" spans="1:33" s="287" customFormat="1" ht="15.5" x14ac:dyDescent="0.35">
      <c r="A13" s="286">
        <v>7</v>
      </c>
      <c r="B13" s="286" t="s">
        <v>55</v>
      </c>
      <c r="C13" s="293">
        <f>Bestämningsfaktor_kommunvis!M13</f>
        <v>207394</v>
      </c>
      <c r="D13" s="294"/>
      <c r="E13" s="294"/>
      <c r="F13" s="294">
        <f>Bestämningsfaktor_kommunvis!P13</f>
        <v>10705</v>
      </c>
      <c r="G13" s="294">
        <f>Bestämningsfaktor_kommunvis!Q13</f>
        <v>5713.57</v>
      </c>
      <c r="H13" s="295">
        <f t="shared" si="0"/>
        <v>36.298496386672433</v>
      </c>
      <c r="I13" s="296">
        <f t="shared" si="1"/>
        <v>0.50003509642833099</v>
      </c>
      <c r="J13" s="296"/>
      <c r="K13" s="297"/>
      <c r="L13" s="286"/>
      <c r="M13" s="286"/>
      <c r="N13" s="286"/>
      <c r="O13" s="28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298"/>
      <c r="AF13" s="299"/>
    </row>
    <row r="14" spans="1:33" s="287" customFormat="1" ht="15.5" x14ac:dyDescent="0.35">
      <c r="A14" s="286">
        <v>8</v>
      </c>
      <c r="B14" s="286" t="s">
        <v>57</v>
      </c>
      <c r="C14" s="293">
        <f>Bestämningsfaktor_kommunvis!M14</f>
        <v>166623</v>
      </c>
      <c r="D14" s="294">
        <f>Bestämningsfaktor_kommunvis!N14</f>
        <v>1273</v>
      </c>
      <c r="E14" s="294"/>
      <c r="F14" s="294">
        <f>Bestämningsfaktor_kommunvis!P14</f>
        <v>10113</v>
      </c>
      <c r="G14" s="294">
        <f>Bestämningsfaktor_kommunvis!Q14</f>
        <v>4559.28</v>
      </c>
      <c r="H14" s="295">
        <f t="shared" si="0"/>
        <v>36.545901984523873</v>
      </c>
      <c r="I14" s="296">
        <f t="shared" si="1"/>
        <v>0.49664999781916436</v>
      </c>
      <c r="J14" s="296"/>
      <c r="K14" s="297"/>
      <c r="L14" s="286"/>
      <c r="M14" s="286"/>
      <c r="N14" s="286"/>
      <c r="O14" s="28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298"/>
      <c r="AF14" s="299"/>
    </row>
    <row r="15" spans="1:33" s="287" customFormat="1" ht="15.5" x14ac:dyDescent="0.35">
      <c r="A15" s="286">
        <v>9</v>
      </c>
      <c r="B15" s="286" t="s">
        <v>59</v>
      </c>
      <c r="C15" s="293">
        <f>Bestämningsfaktor_kommunvis!M15</f>
        <v>128756</v>
      </c>
      <c r="D15" s="294"/>
      <c r="E15" s="294"/>
      <c r="F15" s="294">
        <f>Bestämningsfaktor_kommunvis!P15</f>
        <v>7874</v>
      </c>
      <c r="G15" s="294">
        <f>Bestämningsfaktor_kommunvis!Q15</f>
        <v>5326.5600000000013</v>
      </c>
      <c r="H15" s="295">
        <f t="shared" si="0"/>
        <v>24.172449010243003</v>
      </c>
      <c r="I15" s="296">
        <f t="shared" si="1"/>
        <v>0.75087642684537037</v>
      </c>
      <c r="J15" s="296"/>
      <c r="K15" s="297"/>
      <c r="L15" s="286"/>
      <c r="M15" s="286"/>
      <c r="N15" s="286"/>
      <c r="O15" s="28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298"/>
      <c r="AF15" s="299"/>
    </row>
    <row r="16" spans="1:33" s="287" customFormat="1" ht="15.5" x14ac:dyDescent="0.35">
      <c r="A16" s="286">
        <v>10</v>
      </c>
      <c r="B16" s="286" t="s">
        <v>61</v>
      </c>
      <c r="C16" s="293">
        <f>Bestämningsfaktor_kommunvis!M16</f>
        <v>136474</v>
      </c>
      <c r="D16" s="294"/>
      <c r="E16" s="294"/>
      <c r="F16" s="294">
        <f>Bestämningsfaktor_kommunvis!P16</f>
        <v>4524</v>
      </c>
      <c r="G16" s="294">
        <f>Bestämningsfaktor_kommunvis!Q16</f>
        <v>12651.250000000002</v>
      </c>
      <c r="H16" s="295">
        <f t="shared" si="0"/>
        <v>10.787392550143265</v>
      </c>
      <c r="I16" s="296">
        <f t="shared" si="1"/>
        <v>1.682568058642876</v>
      </c>
      <c r="J16" s="305">
        <v>6043</v>
      </c>
      <c r="K16" s="297"/>
      <c r="L16" s="286"/>
      <c r="M16" s="286"/>
      <c r="N16" s="286"/>
      <c r="O16" s="28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298"/>
      <c r="AF16" s="299"/>
    </row>
    <row r="17" spans="1:32" s="287" customFormat="1" ht="15.5" x14ac:dyDescent="0.35">
      <c r="A17" s="286">
        <v>11</v>
      </c>
      <c r="B17" s="286" t="s">
        <v>63</v>
      </c>
      <c r="C17" s="293">
        <f>Bestämningsfaktor_kommunvis!M17</f>
        <v>250414</v>
      </c>
      <c r="D17" s="294"/>
      <c r="E17" s="294"/>
      <c r="F17" s="294">
        <f>Bestämningsfaktor_kommunvis!P17</f>
        <v>7523</v>
      </c>
      <c r="G17" s="294">
        <f>Bestämningsfaktor_kommunvis!Q17</f>
        <v>17344.769999999997</v>
      </c>
      <c r="H17" s="295">
        <f t="shared" si="0"/>
        <v>14.437435607390588</v>
      </c>
      <c r="I17" s="296">
        <f t="shared" si="1"/>
        <v>1.2571846299090568</v>
      </c>
      <c r="J17" s="305"/>
      <c r="K17" s="297"/>
      <c r="L17" s="286"/>
      <c r="M17" s="286"/>
      <c r="N17" s="286"/>
      <c r="O17" s="28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298"/>
      <c r="AF17" s="299"/>
    </row>
    <row r="18" spans="1:32" s="287" customFormat="1" ht="15.5" x14ac:dyDescent="0.35">
      <c r="A18" s="286">
        <v>12</v>
      </c>
      <c r="B18" s="286" t="s">
        <v>65</v>
      </c>
      <c r="C18" s="293">
        <f>Bestämningsfaktor_kommunvis!M18</f>
        <v>165569</v>
      </c>
      <c r="D18" s="294"/>
      <c r="E18" s="294"/>
      <c r="F18" s="294">
        <f>Bestämningsfaktor_kommunvis!P18</f>
        <v>6108</v>
      </c>
      <c r="G18" s="294">
        <f>Bestämningsfaktor_kommunvis!Q18</f>
        <v>18790.96</v>
      </c>
      <c r="H18" s="295">
        <f t="shared" si="0"/>
        <v>8.8110985282284684</v>
      </c>
      <c r="I18" s="296">
        <f t="shared" si="1"/>
        <v>2.0599613184171783</v>
      </c>
      <c r="J18" s="305"/>
      <c r="K18" s="297"/>
      <c r="L18" s="286"/>
      <c r="M18" s="286"/>
      <c r="N18" s="286"/>
      <c r="O18" s="28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298"/>
      <c r="AF18" s="299"/>
    </row>
    <row r="19" spans="1:32" s="287" customFormat="1" ht="15.5" x14ac:dyDescent="0.35">
      <c r="A19" s="286">
        <v>13</v>
      </c>
      <c r="B19" s="286" t="s">
        <v>67</v>
      </c>
      <c r="C19" s="293">
        <f>Bestämningsfaktor_kommunvis!M19</f>
        <v>273283</v>
      </c>
      <c r="D19" s="294"/>
      <c r="E19" s="294"/>
      <c r="F19" s="294">
        <f>Bestämningsfaktor_kommunvis!P19</f>
        <v>9100</v>
      </c>
      <c r="G19" s="294">
        <f>Bestämningsfaktor_kommunvis!Q19</f>
        <v>16042.229999999998</v>
      </c>
      <c r="H19" s="295">
        <f t="shared" si="0"/>
        <v>17.035225152612824</v>
      </c>
      <c r="I19" s="296">
        <f t="shared" si="1"/>
        <v>1.0654700468182123</v>
      </c>
      <c r="J19" s="305"/>
      <c r="K19" s="297"/>
      <c r="L19" s="286"/>
      <c r="M19" s="286"/>
      <c r="N19" s="286"/>
      <c r="O19" s="28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298"/>
      <c r="AF19" s="299"/>
    </row>
    <row r="20" spans="1:32" s="287" customFormat="1" ht="15.5" x14ac:dyDescent="0.35">
      <c r="A20" s="286">
        <v>14</v>
      </c>
      <c r="B20" s="286" t="s">
        <v>69</v>
      </c>
      <c r="C20" s="293">
        <f>Bestämningsfaktor_kommunvis!M20</f>
        <v>194316</v>
      </c>
      <c r="D20" s="294"/>
      <c r="E20" s="294"/>
      <c r="F20" s="294">
        <f>Bestämningsfaktor_kommunvis!P20</f>
        <v>4147</v>
      </c>
      <c r="G20" s="294">
        <f>Bestämningsfaktor_kommunvis!Q20</f>
        <v>13798.28</v>
      </c>
      <c r="H20" s="295">
        <f t="shared" si="0"/>
        <v>14.082624790915968</v>
      </c>
      <c r="I20" s="296">
        <f t="shared" si="1"/>
        <v>1.2888593149638705</v>
      </c>
      <c r="J20" s="305"/>
      <c r="K20" s="297"/>
      <c r="L20" s="286"/>
      <c r="M20" s="286"/>
      <c r="N20" s="286"/>
      <c r="O20" s="28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298"/>
      <c r="AF20" s="299"/>
    </row>
    <row r="21" spans="1:32" s="287" customFormat="1" ht="15.5" x14ac:dyDescent="0.35">
      <c r="A21" s="286">
        <v>15</v>
      </c>
      <c r="B21" s="286" t="s">
        <v>71</v>
      </c>
      <c r="C21" s="293">
        <f>Bestämningsfaktor_kommunvis!M21</f>
        <v>176193</v>
      </c>
      <c r="D21" s="294">
        <f>Bestämningsfaktor_kommunvis!N21</f>
        <v>89403</v>
      </c>
      <c r="E21" s="294"/>
      <c r="F21" s="294">
        <f>Bestämningsfaktor_kommunvis!P21</f>
        <v>12209</v>
      </c>
      <c r="G21" s="294">
        <f>Bestämningsfaktor_kommunvis!Q21</f>
        <v>7400.92</v>
      </c>
      <c r="H21" s="295">
        <f t="shared" si="0"/>
        <v>23.806905087475609</v>
      </c>
      <c r="I21" s="296">
        <f t="shared" si="1"/>
        <v>0.76240578412948956</v>
      </c>
      <c r="J21" s="305">
        <v>5456</v>
      </c>
      <c r="K21" s="297"/>
      <c r="L21" s="286"/>
      <c r="M21" s="286"/>
      <c r="N21" s="286"/>
      <c r="O21" s="28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298"/>
      <c r="AF21" s="299"/>
    </row>
    <row r="22" spans="1:32" s="287" customFormat="1" ht="15.5" x14ac:dyDescent="0.35">
      <c r="A22" s="286">
        <v>16</v>
      </c>
      <c r="B22" s="286" t="s">
        <v>73</v>
      </c>
      <c r="C22" s="293">
        <f>Bestämningsfaktor_kommunvis!M22</f>
        <v>68437</v>
      </c>
      <c r="D22" s="294">
        <f>Bestämningsfaktor_kommunvis!N22</f>
        <v>6186</v>
      </c>
      <c r="E22" s="294"/>
      <c r="F22" s="294">
        <f>Bestämningsfaktor_kommunvis!P22</f>
        <v>1984</v>
      </c>
      <c r="G22" s="294">
        <f>Bestämningsfaktor_kommunvis!Q22</f>
        <v>5019.55</v>
      </c>
      <c r="H22" s="295">
        <f t="shared" si="0"/>
        <v>13.634090705342112</v>
      </c>
      <c r="I22" s="296">
        <f t="shared" si="1"/>
        <v>1.3312601869225817</v>
      </c>
      <c r="J22" s="305"/>
      <c r="K22" s="297"/>
      <c r="L22" s="286"/>
      <c r="M22" s="286"/>
      <c r="N22" s="286"/>
      <c r="O22" s="28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298"/>
      <c r="AF22" s="299"/>
    </row>
    <row r="23" spans="1:32" s="287" customFormat="1" ht="15.5" x14ac:dyDescent="0.35">
      <c r="A23" s="286">
        <v>17</v>
      </c>
      <c r="B23" s="286" t="s">
        <v>75</v>
      </c>
      <c r="C23" s="293">
        <f>Bestämningsfaktor_kommunvis!M23</f>
        <v>412161</v>
      </c>
      <c r="D23" s="294"/>
      <c r="E23" s="294"/>
      <c r="F23" s="294">
        <f>Bestämningsfaktor_kommunvis!P23</f>
        <v>11666</v>
      </c>
      <c r="G23" s="294">
        <f>Bestämningsfaktor_kommunvis!Q23</f>
        <v>36818.429999999993</v>
      </c>
      <c r="H23" s="295">
        <f t="shared" si="0"/>
        <v>11.194420837607689</v>
      </c>
      <c r="I23" s="296">
        <f t="shared" si="1"/>
        <v>1.6213900124190832</v>
      </c>
      <c r="J23" s="305">
        <v>967</v>
      </c>
      <c r="K23" s="297"/>
      <c r="L23" s="286"/>
      <c r="M23" s="286"/>
      <c r="N23" s="286"/>
      <c r="O23" s="28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298"/>
      <c r="AF23" s="299"/>
    </row>
    <row r="24" spans="1:32" s="287" customFormat="1" ht="15.5" x14ac:dyDescent="0.35">
      <c r="A24" s="286">
        <v>18</v>
      </c>
      <c r="B24" s="286" t="s">
        <v>77</v>
      </c>
      <c r="C24" s="293">
        <f>Bestämningsfaktor_kommunvis!M24</f>
        <v>73061</v>
      </c>
      <c r="D24" s="294"/>
      <c r="E24" s="294"/>
      <c r="F24" s="294">
        <f>Bestämningsfaktor_kommunvis!P24</f>
        <v>2002</v>
      </c>
      <c r="G24" s="294">
        <f>Bestämningsfaktor_kommunvis!Q24</f>
        <v>20196.96</v>
      </c>
      <c r="H24" s="295">
        <f t="shared" si="0"/>
        <v>3.6174255927624754</v>
      </c>
      <c r="I24" s="296">
        <f t="shared" si="1"/>
        <v>5.0175246664997433</v>
      </c>
      <c r="J24" s="296"/>
      <c r="K24" s="297"/>
      <c r="L24" s="286"/>
      <c r="M24" s="286"/>
      <c r="N24" s="286"/>
      <c r="O24" s="28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298"/>
      <c r="AF24" s="299"/>
    </row>
    <row r="25" spans="1:32" s="287" customFormat="1" ht="15.5" x14ac:dyDescent="0.35">
      <c r="A25" s="286">
        <v>19</v>
      </c>
      <c r="B25" s="286" t="s">
        <v>79</v>
      </c>
      <c r="C25" s="293">
        <f>Bestämningsfaktor_kommunvis!M25</f>
        <v>178522</v>
      </c>
      <c r="D25" s="294"/>
      <c r="E25" s="294">
        <f>Bestämningsfaktor_kommunvis!O25</f>
        <v>1544</v>
      </c>
      <c r="F25" s="294">
        <f>Bestämningsfaktor_kommunvis!P25</f>
        <v>5038</v>
      </c>
      <c r="G25" s="294">
        <f>Bestämningsfaktor_kommunvis!Q25</f>
        <v>92674.719999999987</v>
      </c>
      <c r="H25" s="295">
        <f t="shared" si="0"/>
        <v>1.9263289924156235</v>
      </c>
      <c r="I25" s="296">
        <f t="shared" si="1"/>
        <v>9.4223376237266478</v>
      </c>
      <c r="J25" s="296"/>
      <c r="K25" s="297"/>
      <c r="L25" s="286"/>
      <c r="M25" s="286"/>
      <c r="N25" s="286"/>
      <c r="O25" s="28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298"/>
      <c r="AF25" s="299"/>
    </row>
    <row r="26" spans="1:32" s="287" customFormat="1" ht="15.5" x14ac:dyDescent="0.35">
      <c r="B26" s="306" t="s">
        <v>35</v>
      </c>
      <c r="C26" s="307">
        <f>SUM(C4:C25)</f>
        <v>5488130</v>
      </c>
      <c r="D26" s="307">
        <f>SUM(D4:D25)</f>
        <v>252926</v>
      </c>
      <c r="E26" s="307">
        <f>SUM(E4:E25)</f>
        <v>1544</v>
      </c>
      <c r="F26" s="307">
        <f>SUM(F4:F25)</f>
        <v>389208</v>
      </c>
      <c r="G26" s="307">
        <f>SUM(G4:G25)</f>
        <v>302367.61</v>
      </c>
      <c r="H26" s="308">
        <f>C26/G26</f>
        <v>18.150522140913175</v>
      </c>
      <c r="I26" s="296">
        <f>$H$26/H26</f>
        <v>1</v>
      </c>
      <c r="J26" s="296"/>
      <c r="K26" s="297"/>
      <c r="L26" s="297"/>
      <c r="M26" s="297"/>
      <c r="N26" s="297"/>
      <c r="O26" s="309"/>
      <c r="P26" s="309"/>
      <c r="Q26" s="309"/>
      <c r="R26" s="309"/>
      <c r="S26" s="309"/>
      <c r="T26" s="490"/>
      <c r="U26" s="490"/>
      <c r="V26" s="490"/>
      <c r="W26" s="309"/>
      <c r="X26" s="309"/>
      <c r="Y26" s="309"/>
      <c r="Z26" s="309"/>
      <c r="AA26" s="309"/>
      <c r="AB26" s="309"/>
      <c r="AC26" s="491"/>
      <c r="AD26" s="491"/>
      <c r="AE26" s="298"/>
    </row>
    <row r="27" spans="1:32" s="287" customFormat="1" ht="15.5" x14ac:dyDescent="0.35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</row>
    <row r="28" spans="1:32" s="287" customFormat="1" ht="15.5" x14ac:dyDescent="0.35">
      <c r="A28" s="283" t="s">
        <v>479</v>
      </c>
      <c r="B28" s="283"/>
      <c r="C28" s="283"/>
      <c r="D28" s="310"/>
      <c r="E28" s="310"/>
      <c r="F28" s="310"/>
      <c r="G28" s="310"/>
      <c r="H28" s="310"/>
      <c r="I28" s="310"/>
      <c r="J28" s="310"/>
      <c r="K28" s="310"/>
      <c r="L28" s="311"/>
      <c r="M28" s="311"/>
      <c r="N28" s="286"/>
      <c r="O28" s="28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</row>
    <row r="29" spans="1:32" s="287" customFormat="1" ht="15.5" x14ac:dyDescent="0.35">
      <c r="A29" s="319" t="s">
        <v>22</v>
      </c>
      <c r="B29" s="319" t="s">
        <v>34</v>
      </c>
      <c r="C29" s="323" t="s">
        <v>388</v>
      </c>
      <c r="D29" s="324" t="s">
        <v>480</v>
      </c>
      <c r="E29" s="325" t="s">
        <v>379</v>
      </c>
      <c r="F29" s="323" t="s">
        <v>394</v>
      </c>
      <c r="G29" s="324" t="s">
        <v>481</v>
      </c>
      <c r="H29" s="324" t="s">
        <v>482</v>
      </c>
      <c r="I29" s="324" t="s">
        <v>483</v>
      </c>
      <c r="J29" s="323" t="s">
        <v>484</v>
      </c>
      <c r="K29" s="323" t="s">
        <v>485</v>
      </c>
      <c r="L29" s="286"/>
      <c r="M29" s="286"/>
      <c r="N29" s="286"/>
      <c r="O29" s="28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12"/>
    </row>
    <row r="30" spans="1:32" s="287" customFormat="1" ht="15.5" x14ac:dyDescent="0.35">
      <c r="A30" s="313">
        <v>31</v>
      </c>
      <c r="B30" s="292" t="s">
        <v>37</v>
      </c>
      <c r="C30" s="304">
        <f>Bestämningsfaktor_kommunvis!M4</f>
        <v>648042</v>
      </c>
      <c r="D30" s="304">
        <v>716</v>
      </c>
      <c r="E30" s="314">
        <f t="shared" ref="E30:E52" si="2">C30/D30</f>
        <v>905.08659217877096</v>
      </c>
      <c r="F30" s="303">
        <f t="shared" ref="F30:F52" si="3">$E$52/E30</f>
        <v>1.6006937077485701E-2</v>
      </c>
      <c r="G30" s="287">
        <v>130</v>
      </c>
      <c r="H30" s="287">
        <v>53</v>
      </c>
      <c r="I30" s="287">
        <f t="shared" ref="I30:I52" si="4">SUM(G30:H30)</f>
        <v>183</v>
      </c>
      <c r="J30" s="287">
        <f t="shared" ref="J30:J52" si="5">I30/C30</f>
        <v>2.8238910440989937E-4</v>
      </c>
      <c r="K30" s="315">
        <f t="shared" ref="K30:K52" si="6">J30/$J$52</f>
        <v>0.46400841783985058</v>
      </c>
      <c r="L30" s="286"/>
      <c r="M30" s="286"/>
      <c r="N30" s="286"/>
      <c r="O30" s="28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12"/>
    </row>
    <row r="31" spans="1:32" s="287" customFormat="1" ht="15.5" x14ac:dyDescent="0.35">
      <c r="A31" s="313">
        <v>32</v>
      </c>
      <c r="B31" s="292" t="s">
        <v>39</v>
      </c>
      <c r="C31" s="304">
        <f>Bestämningsfaktor_kommunvis!M5</f>
        <v>264420</v>
      </c>
      <c r="D31" s="304">
        <v>271</v>
      </c>
      <c r="E31" s="314">
        <f t="shared" si="2"/>
        <v>975.71955719557195</v>
      </c>
      <c r="F31" s="303">
        <f t="shared" si="3"/>
        <v>1.4848184628298539E-2</v>
      </c>
      <c r="G31" s="287">
        <v>63</v>
      </c>
      <c r="H31" s="287">
        <v>88</v>
      </c>
      <c r="I31" s="287">
        <f t="shared" si="4"/>
        <v>151</v>
      </c>
      <c r="J31" s="287">
        <f t="shared" si="5"/>
        <v>5.7106119053021713E-4</v>
      </c>
      <c r="K31" s="315">
        <f t="shared" si="6"/>
        <v>0.9383407340073654</v>
      </c>
      <c r="L31" s="286"/>
      <c r="M31" s="286"/>
      <c r="N31" s="286"/>
      <c r="O31" s="28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16"/>
    </row>
    <row r="32" spans="1:32" s="287" customFormat="1" ht="15.5" x14ac:dyDescent="0.35">
      <c r="A32" s="313">
        <v>33</v>
      </c>
      <c r="B32" s="292" t="s">
        <v>41</v>
      </c>
      <c r="C32" s="304">
        <f>Bestämningsfaktor_kommunvis!M6</f>
        <v>464302</v>
      </c>
      <c r="D32" s="304">
        <v>7855</v>
      </c>
      <c r="E32" s="314">
        <f t="shared" si="2"/>
        <v>59.109102482495224</v>
      </c>
      <c r="F32" s="303">
        <f t="shared" si="3"/>
        <v>0.24510039100952302</v>
      </c>
      <c r="G32" s="287">
        <v>100</v>
      </c>
      <c r="H32" s="287">
        <v>158</v>
      </c>
      <c r="I32" s="287">
        <f t="shared" si="4"/>
        <v>258</v>
      </c>
      <c r="J32" s="287">
        <f t="shared" si="5"/>
        <v>5.5567281639967085E-4</v>
      </c>
      <c r="K32" s="315">
        <f t="shared" si="6"/>
        <v>0.91305528558907945</v>
      </c>
      <c r="L32" s="286"/>
      <c r="M32" s="286"/>
      <c r="N32" s="286"/>
      <c r="O32" s="28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16"/>
    </row>
    <row r="33" spans="1:28" s="287" customFormat="1" ht="15.5" x14ac:dyDescent="0.35">
      <c r="A33" s="313">
        <v>34</v>
      </c>
      <c r="B33" s="292" t="s">
        <v>43</v>
      </c>
      <c r="C33" s="304">
        <f>Bestämningsfaktor_kommunvis!M7</f>
        <v>97263</v>
      </c>
      <c r="D33" s="304">
        <v>5537</v>
      </c>
      <c r="E33" s="314">
        <f t="shared" si="2"/>
        <v>17.566010474986456</v>
      </c>
      <c r="F33" s="303">
        <f t="shared" si="3"/>
        <v>0.824755521540398</v>
      </c>
      <c r="G33" s="287">
        <v>19</v>
      </c>
      <c r="H33" s="287">
        <v>39</v>
      </c>
      <c r="I33" s="287">
        <f t="shared" si="4"/>
        <v>58</v>
      </c>
      <c r="J33" s="287">
        <f t="shared" si="5"/>
        <v>5.963213143744281E-4</v>
      </c>
      <c r="K33" s="315">
        <f t="shared" si="6"/>
        <v>0.97984697456818259</v>
      </c>
      <c r="L33" s="286"/>
      <c r="M33" s="286"/>
      <c r="N33" s="286"/>
      <c r="O33" s="28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16"/>
    </row>
    <row r="34" spans="1:28" s="287" customFormat="1" ht="15.5" x14ac:dyDescent="0.35">
      <c r="A34" s="317">
        <v>35</v>
      </c>
      <c r="B34" s="301" t="s">
        <v>45</v>
      </c>
      <c r="C34" s="304">
        <f>Bestämningsfaktor_kommunvis!M8</f>
        <v>196997</v>
      </c>
      <c r="D34" s="304">
        <v>1714</v>
      </c>
      <c r="E34" s="314">
        <f t="shared" si="2"/>
        <v>114.9340723453909</v>
      </c>
      <c r="F34" s="303">
        <f t="shared" si="3"/>
        <v>0.12605195165402605</v>
      </c>
      <c r="G34" s="287">
        <v>35</v>
      </c>
      <c r="H34" s="287">
        <v>101</v>
      </c>
      <c r="I34" s="287">
        <f t="shared" si="4"/>
        <v>136</v>
      </c>
      <c r="J34" s="287">
        <f t="shared" si="5"/>
        <v>6.9036584313466698E-4</v>
      </c>
      <c r="K34" s="315">
        <f t="shared" si="6"/>
        <v>1.1343764954139699</v>
      </c>
      <c r="L34" s="286"/>
      <c r="M34" s="286"/>
      <c r="N34" s="286"/>
      <c r="O34" s="28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16"/>
    </row>
    <row r="35" spans="1:28" s="287" customFormat="1" ht="15.5" x14ac:dyDescent="0.35">
      <c r="A35" s="286">
        <v>2</v>
      </c>
      <c r="B35" s="286" t="s">
        <v>47</v>
      </c>
      <c r="C35" s="304">
        <f>Bestämningsfaktor_kommunvis!M9</f>
        <v>478582</v>
      </c>
      <c r="D35" s="304">
        <v>20539</v>
      </c>
      <c r="E35" s="314">
        <f t="shared" si="2"/>
        <v>23.301134427187304</v>
      </c>
      <c r="F35" s="303">
        <f t="shared" si="3"/>
        <v>0.62175788805276477</v>
      </c>
      <c r="G35" s="287">
        <v>41</v>
      </c>
      <c r="H35" s="287">
        <v>291</v>
      </c>
      <c r="I35" s="287">
        <f t="shared" si="4"/>
        <v>332</v>
      </c>
      <c r="J35" s="287">
        <f t="shared" si="5"/>
        <v>6.9371601940733244E-4</v>
      </c>
      <c r="K35" s="315">
        <f t="shared" si="6"/>
        <v>1.1398813465838213</v>
      </c>
      <c r="L35" s="286"/>
      <c r="M35" s="286"/>
      <c r="N35" s="286"/>
      <c r="O35" s="28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16"/>
    </row>
    <row r="36" spans="1:28" s="287" customFormat="1" ht="15.5" x14ac:dyDescent="0.35">
      <c r="A36" s="286">
        <v>4</v>
      </c>
      <c r="B36" s="286" t="s">
        <v>49</v>
      </c>
      <c r="C36" s="304">
        <f>Bestämningsfaktor_kommunvis!M10</f>
        <v>218624</v>
      </c>
      <c r="D36" s="304">
        <v>11636</v>
      </c>
      <c r="E36" s="314">
        <f t="shared" si="2"/>
        <v>18.788587143348231</v>
      </c>
      <c r="F36" s="303">
        <f t="shared" si="3"/>
        <v>0.77108853476567296</v>
      </c>
      <c r="G36" s="287">
        <v>12</v>
      </c>
      <c r="H36" s="287">
        <v>172</v>
      </c>
      <c r="I36" s="287">
        <f t="shared" si="4"/>
        <v>184</v>
      </c>
      <c r="J36" s="287">
        <f t="shared" si="5"/>
        <v>8.416276346604215E-4</v>
      </c>
      <c r="K36" s="315">
        <f t="shared" si="6"/>
        <v>1.3829227157511672</v>
      </c>
      <c r="L36" s="286"/>
      <c r="M36" s="286"/>
      <c r="N36" s="286"/>
      <c r="O36" s="28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16"/>
    </row>
    <row r="37" spans="1:28" s="287" customFormat="1" ht="15.5" x14ac:dyDescent="0.35">
      <c r="A37" s="286">
        <v>5</v>
      </c>
      <c r="B37" s="286" t="s">
        <v>51</v>
      </c>
      <c r="C37" s="304">
        <f>Bestämningsfaktor_kommunvis!M11</f>
        <v>171364</v>
      </c>
      <c r="D37" s="304">
        <v>5706</v>
      </c>
      <c r="E37" s="314">
        <f t="shared" si="2"/>
        <v>30.032246757798809</v>
      </c>
      <c r="F37" s="303">
        <f t="shared" si="3"/>
        <v>0.48240360594797571</v>
      </c>
      <c r="G37" s="287">
        <v>12</v>
      </c>
      <c r="H37" s="287">
        <v>112</v>
      </c>
      <c r="I37" s="287">
        <f t="shared" si="4"/>
        <v>124</v>
      </c>
      <c r="J37" s="287">
        <f t="shared" si="5"/>
        <v>7.2360589155248472E-4</v>
      </c>
      <c r="K37" s="315">
        <f t="shared" si="6"/>
        <v>1.1889949705406999</v>
      </c>
      <c r="L37" s="286"/>
      <c r="M37" s="286"/>
      <c r="N37" s="286"/>
      <c r="O37" s="28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16"/>
    </row>
    <row r="38" spans="1:28" s="287" customFormat="1" ht="15.5" x14ac:dyDescent="0.35">
      <c r="A38" s="286">
        <v>6</v>
      </c>
      <c r="B38" s="286" t="s">
        <v>53</v>
      </c>
      <c r="C38" s="304">
        <f>Bestämningsfaktor_kommunvis!M12</f>
        <v>517333</v>
      </c>
      <c r="D38" s="304">
        <v>14471</v>
      </c>
      <c r="E38" s="314">
        <f t="shared" si="2"/>
        <v>35.749637205445374</v>
      </c>
      <c r="F38" s="303">
        <f t="shared" si="3"/>
        <v>0.40525345886516551</v>
      </c>
      <c r="G38" s="287">
        <v>40</v>
      </c>
      <c r="H38" s="287">
        <v>271</v>
      </c>
      <c r="I38" s="287">
        <f t="shared" si="4"/>
        <v>311</v>
      </c>
      <c r="J38" s="287">
        <f t="shared" si="5"/>
        <v>6.0116018115991053E-4</v>
      </c>
      <c r="K38" s="315">
        <f t="shared" si="6"/>
        <v>0.98779797156561067</v>
      </c>
      <c r="L38" s="286"/>
      <c r="M38" s="286"/>
      <c r="N38" s="286"/>
      <c r="O38" s="28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16"/>
    </row>
    <row r="39" spans="1:28" s="287" customFormat="1" ht="15.5" x14ac:dyDescent="0.35">
      <c r="A39" s="286">
        <v>7</v>
      </c>
      <c r="B39" s="286" t="s">
        <v>55</v>
      </c>
      <c r="C39" s="304">
        <f>Bestämningsfaktor_kommunvis!M13</f>
        <v>207394</v>
      </c>
      <c r="D39" s="304">
        <v>6256</v>
      </c>
      <c r="E39" s="314">
        <f t="shared" si="2"/>
        <v>33.151214833759589</v>
      </c>
      <c r="F39" s="303">
        <f t="shared" si="3"/>
        <v>0.43701759357331343</v>
      </c>
      <c r="G39" s="287">
        <v>18</v>
      </c>
      <c r="H39" s="287">
        <v>137</v>
      </c>
      <c r="I39" s="287">
        <f t="shared" si="4"/>
        <v>155</v>
      </c>
      <c r="J39" s="287">
        <f t="shared" si="5"/>
        <v>7.4736974068680866E-4</v>
      </c>
      <c r="K39" s="315">
        <f t="shared" si="6"/>
        <v>1.2280426032800884</v>
      </c>
      <c r="L39" s="286"/>
      <c r="M39" s="286"/>
      <c r="N39" s="286"/>
      <c r="O39" s="28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16"/>
    </row>
    <row r="40" spans="1:28" s="287" customFormat="1" ht="15.5" x14ac:dyDescent="0.35">
      <c r="A40" s="286">
        <v>8</v>
      </c>
      <c r="B40" s="286" t="s">
        <v>57</v>
      </c>
      <c r="C40" s="304">
        <f>Bestämningsfaktor_kommunvis!M14</f>
        <v>166623</v>
      </c>
      <c r="D40" s="304">
        <v>7417</v>
      </c>
      <c r="E40" s="314">
        <f t="shared" si="2"/>
        <v>22.465012808413103</v>
      </c>
      <c r="F40" s="303">
        <f t="shared" si="3"/>
        <v>0.64489899267967232</v>
      </c>
      <c r="G40" s="287">
        <v>12</v>
      </c>
      <c r="H40" s="287">
        <v>134</v>
      </c>
      <c r="I40" s="287">
        <f t="shared" si="4"/>
        <v>146</v>
      </c>
      <c r="J40" s="287">
        <f t="shared" si="5"/>
        <v>8.762295721479028E-4</v>
      </c>
      <c r="K40" s="315">
        <f t="shared" si="6"/>
        <v>1.4397789825724758</v>
      </c>
      <c r="L40" s="286"/>
      <c r="M40" s="286"/>
      <c r="N40" s="286"/>
      <c r="O40" s="28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16"/>
    </row>
    <row r="41" spans="1:28" s="287" customFormat="1" ht="15.5" x14ac:dyDescent="0.35">
      <c r="A41" s="286">
        <v>9</v>
      </c>
      <c r="B41" s="286" t="s">
        <v>59</v>
      </c>
      <c r="C41" s="304">
        <f>Bestämningsfaktor_kommunvis!M15</f>
        <v>128756</v>
      </c>
      <c r="D41" s="304">
        <v>7236</v>
      </c>
      <c r="E41" s="314">
        <f t="shared" si="2"/>
        <v>17.793808734107241</v>
      </c>
      <c r="F41" s="303">
        <f t="shared" si="3"/>
        <v>0.81419691237388303</v>
      </c>
      <c r="G41" s="287">
        <v>4</v>
      </c>
      <c r="H41" s="287">
        <v>97</v>
      </c>
      <c r="I41" s="287">
        <f t="shared" si="4"/>
        <v>101</v>
      </c>
      <c r="J41" s="287">
        <f t="shared" si="5"/>
        <v>7.8442946348131345E-4</v>
      </c>
      <c r="K41" s="315">
        <f t="shared" si="6"/>
        <v>1.2889373866514073</v>
      </c>
      <c r="L41" s="286"/>
      <c r="M41" s="286"/>
      <c r="N41" s="286"/>
      <c r="O41" s="28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16"/>
    </row>
    <row r="42" spans="1:28" s="287" customFormat="1" ht="15.5" x14ac:dyDescent="0.35">
      <c r="A42" s="286">
        <v>10</v>
      </c>
      <c r="B42" s="286" t="s">
        <v>61</v>
      </c>
      <c r="C42" s="304">
        <f>Bestämningsfaktor_kommunvis!M16</f>
        <v>136474</v>
      </c>
      <c r="D42" s="304">
        <v>18768</v>
      </c>
      <c r="E42" s="314">
        <f t="shared" si="2"/>
        <v>7.2716325660699059</v>
      </c>
      <c r="F42" s="303">
        <f t="shared" si="3"/>
        <v>1.9923537113635659</v>
      </c>
      <c r="G42" s="287">
        <v>7</v>
      </c>
      <c r="H42" s="287">
        <v>98</v>
      </c>
      <c r="I42" s="287">
        <f t="shared" si="4"/>
        <v>105</v>
      </c>
      <c r="J42" s="287">
        <f t="shared" si="5"/>
        <v>7.693773172912057E-4</v>
      </c>
      <c r="K42" s="315">
        <f t="shared" si="6"/>
        <v>1.2642044120794564</v>
      </c>
      <c r="L42" s="286"/>
      <c r="M42" s="286"/>
      <c r="N42" s="286"/>
      <c r="O42" s="28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16"/>
    </row>
    <row r="43" spans="1:28" s="287" customFormat="1" ht="15.5" x14ac:dyDescent="0.35">
      <c r="A43" s="286">
        <v>11</v>
      </c>
      <c r="B43" s="286" t="s">
        <v>63</v>
      </c>
      <c r="C43" s="304">
        <f>Bestämningsfaktor_kommunvis!M17</f>
        <v>250414</v>
      </c>
      <c r="D43" s="304">
        <v>20368</v>
      </c>
      <c r="E43" s="314">
        <f t="shared" si="2"/>
        <v>12.294481539670072</v>
      </c>
      <c r="F43" s="303">
        <f t="shared" si="3"/>
        <v>1.1783875622517981</v>
      </c>
      <c r="G43" s="287">
        <v>19</v>
      </c>
      <c r="H43" s="287">
        <v>126</v>
      </c>
      <c r="I43" s="287">
        <f t="shared" si="4"/>
        <v>145</v>
      </c>
      <c r="J43" s="287">
        <f t="shared" si="5"/>
        <v>5.7904110792527579E-4</v>
      </c>
      <c r="K43" s="315">
        <f t="shared" si="6"/>
        <v>0.95145295677782749</v>
      </c>
      <c r="L43" s="286"/>
      <c r="M43" s="286"/>
      <c r="N43" s="286"/>
      <c r="O43" s="28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16"/>
    </row>
    <row r="44" spans="1:28" s="287" customFormat="1" ht="15.5" x14ac:dyDescent="0.35">
      <c r="A44" s="286">
        <v>12</v>
      </c>
      <c r="B44" s="286" t="s">
        <v>65</v>
      </c>
      <c r="C44" s="304">
        <f>Bestämningsfaktor_kommunvis!M18</f>
        <v>165569</v>
      </c>
      <c r="D44" s="304">
        <v>21584</v>
      </c>
      <c r="E44" s="314">
        <f t="shared" si="2"/>
        <v>7.6709136397331354</v>
      </c>
      <c r="F44" s="303">
        <f t="shared" si="3"/>
        <v>1.888649098542786</v>
      </c>
      <c r="G44" s="287">
        <v>7</v>
      </c>
      <c r="H44" s="287">
        <v>105</v>
      </c>
      <c r="I44" s="287">
        <f t="shared" si="4"/>
        <v>112</v>
      </c>
      <c r="J44" s="287">
        <f t="shared" si="5"/>
        <v>6.7645513350929223E-4</v>
      </c>
      <c r="K44" s="315">
        <f t="shared" si="6"/>
        <v>1.1115190754090873</v>
      </c>
      <c r="L44" s="286"/>
      <c r="M44" s="286"/>
      <c r="N44" s="286"/>
      <c r="O44" s="28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16"/>
    </row>
    <row r="45" spans="1:28" s="287" customFormat="1" ht="15.5" x14ac:dyDescent="0.35">
      <c r="A45" s="286">
        <v>13</v>
      </c>
      <c r="B45" s="286" t="s">
        <v>67</v>
      </c>
      <c r="C45" s="304">
        <f>Bestämningsfaktor_kommunvis!M19</f>
        <v>273283</v>
      </c>
      <c r="D45" s="304">
        <v>19952</v>
      </c>
      <c r="E45" s="314">
        <f t="shared" si="2"/>
        <v>13.697022854851644</v>
      </c>
      <c r="F45" s="303">
        <f t="shared" si="3"/>
        <v>1.0577235859360379</v>
      </c>
      <c r="G45" s="287">
        <v>16</v>
      </c>
      <c r="H45" s="287">
        <v>165</v>
      </c>
      <c r="I45" s="287">
        <f t="shared" si="4"/>
        <v>181</v>
      </c>
      <c r="J45" s="287">
        <f t="shared" si="5"/>
        <v>6.6231708521935137E-4</v>
      </c>
      <c r="K45" s="315">
        <f t="shared" si="6"/>
        <v>1.0882881032649336</v>
      </c>
      <c r="L45" s="286"/>
      <c r="M45" s="286"/>
      <c r="N45" s="286"/>
      <c r="O45" s="28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16"/>
    </row>
    <row r="46" spans="1:28" s="287" customFormat="1" ht="15.5" x14ac:dyDescent="0.35">
      <c r="A46" s="286">
        <v>14</v>
      </c>
      <c r="B46" s="286" t="s">
        <v>69</v>
      </c>
      <c r="C46" s="304">
        <f>Bestämningsfaktor_kommunvis!M20</f>
        <v>194316</v>
      </c>
      <c r="D46" s="304">
        <v>14001</v>
      </c>
      <c r="E46" s="314">
        <f t="shared" si="2"/>
        <v>13.878722948360831</v>
      </c>
      <c r="F46" s="303">
        <f t="shared" si="3"/>
        <v>1.0438758799773171</v>
      </c>
      <c r="G46" s="287">
        <v>4</v>
      </c>
      <c r="H46" s="287">
        <v>142</v>
      </c>
      <c r="I46" s="287">
        <f t="shared" si="4"/>
        <v>146</v>
      </c>
      <c r="J46" s="287">
        <f t="shared" si="5"/>
        <v>7.5135346548920313E-4</v>
      </c>
      <c r="K46" s="315">
        <f t="shared" si="6"/>
        <v>1.2345884714237305</v>
      </c>
      <c r="L46" s="286"/>
      <c r="M46" s="286"/>
      <c r="N46" s="286"/>
      <c r="O46" s="28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16"/>
    </row>
    <row r="47" spans="1:28" s="287" customFormat="1" ht="15.5" x14ac:dyDescent="0.35">
      <c r="A47" s="286">
        <v>15</v>
      </c>
      <c r="B47" s="286" t="s">
        <v>71</v>
      </c>
      <c r="C47" s="304">
        <f>Bestämningsfaktor_kommunvis!M21</f>
        <v>176193</v>
      </c>
      <c r="D47" s="304">
        <v>17411</v>
      </c>
      <c r="E47" s="314">
        <f t="shared" si="2"/>
        <v>10.119637011084947</v>
      </c>
      <c r="F47" s="303">
        <f t="shared" si="3"/>
        <v>1.4316387153819754</v>
      </c>
      <c r="G47" s="287">
        <v>8</v>
      </c>
      <c r="H47" s="287">
        <v>78</v>
      </c>
      <c r="I47" s="287">
        <f t="shared" si="4"/>
        <v>86</v>
      </c>
      <c r="J47" s="287">
        <f t="shared" si="5"/>
        <v>4.881011163894139E-4</v>
      </c>
      <c r="K47" s="315">
        <f t="shared" si="6"/>
        <v>0.80202466463779465</v>
      </c>
      <c r="L47" s="286"/>
      <c r="M47" s="286"/>
      <c r="N47" s="286"/>
      <c r="O47" s="286"/>
      <c r="P47" s="326"/>
      <c r="Q47" s="326"/>
      <c r="R47" s="326"/>
      <c r="S47" s="326"/>
      <c r="T47" s="326"/>
      <c r="U47" s="492"/>
      <c r="V47" s="492"/>
      <c r="W47" s="492"/>
      <c r="X47" s="326"/>
      <c r="Y47" s="326"/>
      <c r="Z47" s="326"/>
      <c r="AA47" s="326"/>
      <c r="AB47" s="316"/>
    </row>
    <row r="48" spans="1:28" s="287" customFormat="1" ht="15.5" x14ac:dyDescent="0.35">
      <c r="A48" s="286">
        <v>16</v>
      </c>
      <c r="B48" s="286" t="s">
        <v>73</v>
      </c>
      <c r="C48" s="304">
        <f>Bestämningsfaktor_kommunvis!M22</f>
        <v>68437</v>
      </c>
      <c r="D48" s="304">
        <v>9116</v>
      </c>
      <c r="E48" s="314">
        <f t="shared" si="2"/>
        <v>7.5073497147871873</v>
      </c>
      <c r="F48" s="303">
        <f t="shared" si="3"/>
        <v>1.9297974226703829</v>
      </c>
      <c r="G48" s="287">
        <v>6</v>
      </c>
      <c r="H48" s="287">
        <v>66</v>
      </c>
      <c r="I48" s="287">
        <f t="shared" si="4"/>
        <v>72</v>
      </c>
      <c r="J48" s="287">
        <f t="shared" si="5"/>
        <v>1.0520624808217777E-3</v>
      </c>
      <c r="K48" s="315">
        <f t="shared" si="6"/>
        <v>1.7286993002612043</v>
      </c>
      <c r="L48" s="286"/>
      <c r="M48" s="286"/>
      <c r="N48" s="286"/>
      <c r="O48" s="286"/>
      <c r="P48" s="326"/>
      <c r="Q48" s="326"/>
      <c r="R48" s="326"/>
      <c r="S48" s="326"/>
      <c r="T48" s="326"/>
      <c r="U48" s="492"/>
      <c r="V48" s="492"/>
      <c r="W48" s="492"/>
      <c r="X48" s="326"/>
      <c r="Y48" s="326"/>
      <c r="Z48" s="326"/>
      <c r="AA48" s="326"/>
      <c r="AB48" s="316"/>
    </row>
    <row r="49" spans="1:30" s="287" customFormat="1" ht="15.5" x14ac:dyDescent="0.35">
      <c r="A49" s="286">
        <v>17</v>
      </c>
      <c r="B49" s="286" t="s">
        <v>75</v>
      </c>
      <c r="C49" s="304">
        <f>Bestämningsfaktor_kommunvis!M23</f>
        <v>412161</v>
      </c>
      <c r="D49" s="304">
        <v>43439</v>
      </c>
      <c r="E49" s="314">
        <f t="shared" si="2"/>
        <v>9.4882709086304935</v>
      </c>
      <c r="F49" s="303">
        <f t="shared" si="3"/>
        <v>1.526902453586525</v>
      </c>
      <c r="G49" s="287">
        <v>19</v>
      </c>
      <c r="H49" s="287">
        <v>166</v>
      </c>
      <c r="I49" s="287">
        <f t="shared" si="4"/>
        <v>185</v>
      </c>
      <c r="J49" s="287">
        <f t="shared" si="5"/>
        <v>4.4885372463673178E-4</v>
      </c>
      <c r="K49" s="315">
        <f t="shared" si="6"/>
        <v>0.73753520712293019</v>
      </c>
      <c r="L49" s="286"/>
      <c r="M49" s="286"/>
      <c r="N49" s="286"/>
      <c r="O49" s="286"/>
      <c r="P49" s="326"/>
      <c r="Q49" s="326"/>
      <c r="R49" s="326"/>
      <c r="S49" s="326"/>
      <c r="T49" s="326"/>
      <c r="U49" s="492"/>
      <c r="V49" s="492"/>
      <c r="W49" s="492"/>
      <c r="X49" s="326"/>
      <c r="Y49" s="326"/>
      <c r="Z49" s="326"/>
      <c r="AA49" s="326"/>
      <c r="AB49" s="316"/>
    </row>
    <row r="50" spans="1:30" s="287" customFormat="1" ht="15.5" x14ac:dyDescent="0.35">
      <c r="A50" s="286">
        <v>18</v>
      </c>
      <c r="B50" s="286" t="s">
        <v>77</v>
      </c>
      <c r="C50" s="304">
        <f>Bestämningsfaktor_kommunvis!M24</f>
        <v>73061</v>
      </c>
      <c r="D50" s="304">
        <v>24453</v>
      </c>
      <c r="E50" s="314">
        <f t="shared" si="2"/>
        <v>2.9878133562344087</v>
      </c>
      <c r="F50" s="303">
        <f t="shared" si="3"/>
        <v>4.8489187252782733</v>
      </c>
      <c r="G50" s="287">
        <v>2</v>
      </c>
      <c r="H50" s="287">
        <v>53</v>
      </c>
      <c r="I50" s="287">
        <f t="shared" si="4"/>
        <v>55</v>
      </c>
      <c r="J50" s="287">
        <f t="shared" si="5"/>
        <v>7.5279560914851972E-4</v>
      </c>
      <c r="K50" s="315">
        <f t="shared" si="6"/>
        <v>1.2369581336635525</v>
      </c>
      <c r="L50" s="286"/>
      <c r="M50" s="286"/>
      <c r="N50" s="286"/>
      <c r="O50" s="286"/>
      <c r="P50" s="326"/>
      <c r="Q50" s="326"/>
      <c r="R50" s="326"/>
      <c r="S50" s="326"/>
      <c r="T50" s="326"/>
      <c r="U50" s="492"/>
      <c r="V50" s="492"/>
      <c r="W50" s="492"/>
      <c r="X50" s="326"/>
      <c r="Y50" s="326"/>
      <c r="Z50" s="326"/>
      <c r="AA50" s="326"/>
      <c r="AB50" s="316"/>
    </row>
    <row r="51" spans="1:30" s="287" customFormat="1" ht="15.5" x14ac:dyDescent="0.35">
      <c r="A51" s="286">
        <v>19</v>
      </c>
      <c r="B51" s="286" t="s">
        <v>79</v>
      </c>
      <c r="C51" s="304">
        <f>Bestämningsfaktor_kommunvis!M25</f>
        <v>178522</v>
      </c>
      <c r="D51" s="304">
        <v>100368</v>
      </c>
      <c r="E51" s="314">
        <f t="shared" si="2"/>
        <v>1.7786744779212498</v>
      </c>
      <c r="F51" s="303">
        <f t="shared" si="3"/>
        <v>8.1452026835249747</v>
      </c>
      <c r="G51" s="287">
        <v>6</v>
      </c>
      <c r="H51" s="287">
        <v>108</v>
      </c>
      <c r="I51" s="287">
        <f t="shared" si="4"/>
        <v>114</v>
      </c>
      <c r="J51" s="287">
        <f t="shared" si="5"/>
        <v>6.3857675804662728E-4</v>
      </c>
      <c r="K51" s="315">
        <f t="shared" si="6"/>
        <v>1.0492791207001306</v>
      </c>
      <c r="L51" s="286"/>
      <c r="M51" s="286"/>
      <c r="N51" s="286"/>
      <c r="O51" s="286"/>
      <c r="P51" s="326"/>
      <c r="Q51" s="326"/>
      <c r="R51" s="326"/>
      <c r="S51" s="326"/>
      <c r="T51" s="326"/>
      <c r="U51" s="492"/>
      <c r="V51" s="492"/>
      <c r="W51" s="492"/>
      <c r="X51" s="326"/>
      <c r="Y51" s="326"/>
      <c r="Z51" s="326"/>
      <c r="AA51" s="326"/>
      <c r="AB51" s="316"/>
    </row>
    <row r="52" spans="1:30" s="287" customFormat="1" ht="15.5" x14ac:dyDescent="0.35">
      <c r="A52" s="306" t="s">
        <v>35</v>
      </c>
      <c r="B52" s="306"/>
      <c r="C52" s="318">
        <f>SUM(C30:C51)</f>
        <v>5488130</v>
      </c>
      <c r="D52" s="304">
        <f>SUM(D30:D51)</f>
        <v>378814</v>
      </c>
      <c r="E52" s="314">
        <f t="shared" si="2"/>
        <v>14.487664130681548</v>
      </c>
      <c r="F52" s="287">
        <f t="shared" si="3"/>
        <v>1</v>
      </c>
      <c r="G52" s="287">
        <f>SUM(G30:G51)</f>
        <v>580</v>
      </c>
      <c r="H52" s="287">
        <f>SUM(H30:H51)</f>
        <v>2760</v>
      </c>
      <c r="I52" s="287">
        <f t="shared" si="4"/>
        <v>3340</v>
      </c>
      <c r="J52" s="287">
        <f t="shared" si="5"/>
        <v>6.085861668728693E-4</v>
      </c>
      <c r="K52" s="315">
        <f t="shared" si="6"/>
        <v>1</v>
      </c>
      <c r="L52" s="286"/>
      <c r="M52" s="286"/>
      <c r="N52" s="286"/>
      <c r="O52" s="286"/>
      <c r="P52" s="326"/>
      <c r="Q52" s="326"/>
      <c r="R52" s="326"/>
      <c r="S52" s="326"/>
      <c r="T52" s="326"/>
      <c r="U52" s="492"/>
      <c r="V52" s="492"/>
      <c r="W52" s="492"/>
      <c r="X52" s="326"/>
      <c r="Y52" s="326"/>
      <c r="Z52" s="326"/>
      <c r="AA52" s="326"/>
      <c r="AB52" s="316"/>
    </row>
    <row r="53" spans="1:30" x14ac:dyDescent="0.25">
      <c r="U53" s="493"/>
      <c r="V53" s="493"/>
      <c r="W53" s="493"/>
      <c r="AB53" s="281"/>
      <c r="AC53" s="281"/>
      <c r="AD53" s="281"/>
    </row>
    <row r="54" spans="1:30" x14ac:dyDescent="0.25">
      <c r="X54" s="493"/>
      <c r="Y54" s="493"/>
      <c r="Z54" s="493"/>
    </row>
    <row r="55" spans="1:30" x14ac:dyDescent="0.25">
      <c r="X55" s="493"/>
      <c r="Y55" s="493"/>
      <c r="Z55" s="493"/>
    </row>
    <row r="56" spans="1:30" x14ac:dyDescent="0.25">
      <c r="X56" s="493"/>
      <c r="Y56" s="493"/>
      <c r="Z56" s="493"/>
    </row>
    <row r="57" spans="1:30" x14ac:dyDescent="0.25">
      <c r="X57" s="493"/>
      <c r="Y57" s="493"/>
      <c r="Z57" s="493"/>
    </row>
    <row r="58" spans="1:30" x14ac:dyDescent="0.25">
      <c r="X58" s="493"/>
      <c r="Y58" s="493"/>
      <c r="Z58" s="493"/>
    </row>
    <row r="59" spans="1:30" x14ac:dyDescent="0.25">
      <c r="X59" s="493"/>
      <c r="Y59" s="493"/>
      <c r="Z59" s="493"/>
    </row>
    <row r="60" spans="1:30" x14ac:dyDescent="0.25">
      <c r="X60" s="493"/>
      <c r="Y60" s="493"/>
      <c r="Z60" s="493"/>
    </row>
    <row r="61" spans="1:30" x14ac:dyDescent="0.25">
      <c r="X61" s="493"/>
      <c r="Y61" s="493"/>
      <c r="Z61" s="493"/>
    </row>
    <row r="62" spans="1:30" x14ac:dyDescent="0.25">
      <c r="X62" s="493"/>
      <c r="Y62" s="493"/>
      <c r="Z62" s="493"/>
    </row>
    <row r="63" spans="1:30" x14ac:dyDescent="0.25">
      <c r="X63" s="493"/>
      <c r="Y63" s="493"/>
      <c r="Z63" s="493"/>
    </row>
    <row r="64" spans="1:30" x14ac:dyDescent="0.25">
      <c r="X64" s="493"/>
      <c r="Y64" s="493"/>
      <c r="Z64" s="493"/>
    </row>
    <row r="65" spans="24:26" x14ac:dyDescent="0.25">
      <c r="X65" s="493"/>
      <c r="Y65" s="493"/>
      <c r="Z65" s="493"/>
    </row>
    <row r="66" spans="24:26" x14ac:dyDescent="0.25">
      <c r="X66" s="493"/>
      <c r="Y66" s="493"/>
      <c r="Z66" s="493"/>
    </row>
    <row r="67" spans="24:26" x14ac:dyDescent="0.25">
      <c r="X67" s="493"/>
      <c r="Y67" s="493"/>
      <c r="Z67" s="493"/>
    </row>
    <row r="68" spans="24:26" x14ac:dyDescent="0.25">
      <c r="X68" s="493"/>
      <c r="Y68" s="493"/>
      <c r="Z68" s="493"/>
    </row>
    <row r="69" spans="24:26" x14ac:dyDescent="0.25">
      <c r="X69" s="493"/>
      <c r="Y69" s="493"/>
      <c r="Z69" s="493"/>
    </row>
    <row r="70" spans="24:26" x14ac:dyDescent="0.25">
      <c r="X70" s="493"/>
      <c r="Y70" s="493"/>
      <c r="Z70" s="493"/>
    </row>
    <row r="71" spans="24:26" x14ac:dyDescent="0.25">
      <c r="X71" s="494"/>
      <c r="Y71" s="494"/>
      <c r="Z71" s="494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298"/>
  <sheetViews>
    <sheetView zoomScale="70" zoomScaleNormal="70" workbookViewId="0"/>
  </sheetViews>
  <sheetFormatPr defaultColWidth="8.83203125" defaultRowHeight="15.5" x14ac:dyDescent="0.35"/>
  <cols>
    <col min="1" max="1" width="15.58203125" style="286" customWidth="1"/>
    <col min="2" max="2" width="9.9140625" style="286" customWidth="1"/>
    <col min="3" max="3" width="22.6640625" style="286" customWidth="1"/>
    <col min="4" max="4" width="12.83203125" style="286" customWidth="1"/>
    <col min="5" max="5" width="15.6640625" style="286" customWidth="1"/>
    <col min="6" max="6" width="16.08203125" style="286" customWidth="1"/>
    <col min="7" max="7" width="17.4140625" style="286" customWidth="1"/>
    <col min="8" max="8" width="11.33203125" style="286" customWidth="1"/>
    <col min="9" max="9" width="17.1640625" style="286" customWidth="1"/>
    <col min="10" max="10" width="8.6640625" style="286"/>
    <col min="11" max="11" width="22.6640625" style="286" customWidth="1"/>
    <col min="12" max="12" width="15.58203125" style="287" customWidth="1"/>
    <col min="13" max="13" width="12.83203125" style="287" customWidth="1"/>
    <col min="14" max="14" width="15.6640625" style="287" customWidth="1"/>
    <col min="15" max="15" width="15.58203125" style="287" customWidth="1"/>
    <col min="16" max="16" width="17.4140625" style="286" customWidth="1"/>
    <col min="17" max="17" width="10.83203125" style="286" customWidth="1"/>
    <col min="18" max="18" width="17.1640625" style="286" customWidth="1"/>
    <col min="19" max="19" width="8.6640625" style="286" bestFit="1" customWidth="1"/>
    <col min="20" max="16384" width="8.83203125" style="286"/>
  </cols>
  <sheetData>
    <row r="1" spans="1:18" ht="18" x14ac:dyDescent="0.4">
      <c r="A1" s="444" t="s">
        <v>793</v>
      </c>
    </row>
    <row r="2" spans="1:18" x14ac:dyDescent="0.35">
      <c r="C2" s="326"/>
    </row>
    <row r="3" spans="1:18" x14ac:dyDescent="0.35">
      <c r="A3" s="335" t="s">
        <v>486</v>
      </c>
      <c r="B3" s="335" t="s">
        <v>21</v>
      </c>
      <c r="C3" s="336" t="s">
        <v>22</v>
      </c>
      <c r="D3" s="335" t="s">
        <v>388</v>
      </c>
      <c r="E3" s="335" t="s">
        <v>487</v>
      </c>
      <c r="F3" s="335" t="s">
        <v>488</v>
      </c>
      <c r="G3" s="335" t="s">
        <v>489</v>
      </c>
      <c r="H3" s="335" t="s">
        <v>490</v>
      </c>
      <c r="I3" s="335" t="s">
        <v>379</v>
      </c>
      <c r="K3" s="319" t="s">
        <v>22</v>
      </c>
      <c r="L3" s="319" t="s">
        <v>34</v>
      </c>
      <c r="M3" s="319" t="s">
        <v>388</v>
      </c>
      <c r="N3" s="319" t="s">
        <v>487</v>
      </c>
      <c r="O3" s="319" t="s">
        <v>491</v>
      </c>
      <c r="P3" s="319" t="s">
        <v>489</v>
      </c>
      <c r="Q3" s="319" t="s">
        <v>492</v>
      </c>
      <c r="R3" s="319" t="s">
        <v>379</v>
      </c>
    </row>
    <row r="4" spans="1:18" x14ac:dyDescent="0.35">
      <c r="B4" s="286" t="s">
        <v>35</v>
      </c>
      <c r="D4" s="328">
        <f t="shared" ref="D4:I4" si="0">SUM(D5:D298)</f>
        <v>5488130</v>
      </c>
      <c r="E4" s="328">
        <f t="shared" si="0"/>
        <v>262552</v>
      </c>
      <c r="F4" s="328">
        <f t="shared" si="0"/>
        <v>1995</v>
      </c>
      <c r="G4" s="328">
        <f t="shared" si="0"/>
        <v>389208</v>
      </c>
      <c r="H4" s="328">
        <f t="shared" si="0"/>
        <v>302367.61</v>
      </c>
      <c r="I4" s="328">
        <f t="shared" si="0"/>
        <v>17774.900000000001</v>
      </c>
      <c r="K4" s="329">
        <v>31</v>
      </c>
      <c r="L4" s="292" t="s">
        <v>37</v>
      </c>
      <c r="M4" s="330">
        <f t="shared" ref="M4:M25" si="1">SUMIF($C$5:$C$298,$K4,D$5:D$298)</f>
        <v>648042</v>
      </c>
      <c r="N4" s="330">
        <f t="shared" ref="N4:N25" si="2">SUMIF($C$5:$C$298,$K4,E$5:E$298)</f>
        <v>36533</v>
      </c>
      <c r="O4" s="330">
        <f t="shared" ref="O4:O25" si="3">SUMIF($C$5:$C$298,$K4,F$5:F$298)</f>
        <v>67</v>
      </c>
      <c r="P4" s="330">
        <f t="shared" ref="P4:P25" si="4">SUMIF($C$5:$C$298,$K4,G$5:G$298)</f>
        <v>101825</v>
      </c>
      <c r="Q4" s="330">
        <f t="shared" ref="Q4:Q25" si="5">SUMIF($C$5:$C$298,$K4,H$5:H$298)</f>
        <v>214.25</v>
      </c>
      <c r="R4" s="330">
        <f t="shared" ref="R4:R25" si="6">SUMIF($C$5:$C$298,$K4,I$5:I$298)</f>
        <v>3024.7</v>
      </c>
    </row>
    <row r="5" spans="1:18" x14ac:dyDescent="0.35">
      <c r="A5" s="286">
        <v>5</v>
      </c>
      <c r="B5" s="286" t="s">
        <v>36</v>
      </c>
      <c r="C5" s="326">
        <v>14</v>
      </c>
      <c r="D5" s="328">
        <v>9700</v>
      </c>
      <c r="E5" s="328">
        <v>11</v>
      </c>
      <c r="F5" s="328">
        <v>0</v>
      </c>
      <c r="G5" s="328">
        <v>224</v>
      </c>
      <c r="H5" s="328">
        <v>1008.83</v>
      </c>
      <c r="I5" s="328">
        <v>9.6</v>
      </c>
      <c r="K5" s="329">
        <v>32</v>
      </c>
      <c r="L5" s="292" t="s">
        <v>39</v>
      </c>
      <c r="M5" s="330">
        <f t="shared" si="1"/>
        <v>264420</v>
      </c>
      <c r="N5" s="330">
        <f t="shared" si="2"/>
        <v>6024</v>
      </c>
      <c r="O5" s="330">
        <f t="shared" si="3"/>
        <v>21</v>
      </c>
      <c r="P5" s="330">
        <f t="shared" si="4"/>
        <v>47021</v>
      </c>
      <c r="Q5" s="330">
        <f t="shared" si="5"/>
        <v>269</v>
      </c>
      <c r="R5" s="330">
        <f t="shared" si="6"/>
        <v>2140.8000000000002</v>
      </c>
    </row>
    <row r="6" spans="1:18" x14ac:dyDescent="0.35">
      <c r="A6" s="286">
        <v>9</v>
      </c>
      <c r="B6" s="286" t="s">
        <v>38</v>
      </c>
      <c r="C6" s="326">
        <v>17</v>
      </c>
      <c r="D6" s="328">
        <v>2573</v>
      </c>
      <c r="E6" s="328">
        <v>6</v>
      </c>
      <c r="F6" s="328">
        <v>0</v>
      </c>
      <c r="G6" s="328">
        <v>22</v>
      </c>
      <c r="H6" s="328">
        <v>251.41</v>
      </c>
      <c r="I6" s="328">
        <v>10.199999999999999</v>
      </c>
      <c r="K6" s="329">
        <v>33</v>
      </c>
      <c r="L6" s="292" t="s">
        <v>41</v>
      </c>
      <c r="M6" s="330">
        <f t="shared" si="1"/>
        <v>464302</v>
      </c>
      <c r="N6" s="330">
        <f t="shared" si="2"/>
        <v>57854</v>
      </c>
      <c r="O6" s="330">
        <f t="shared" si="3"/>
        <v>33</v>
      </c>
      <c r="P6" s="330">
        <f t="shared" si="4"/>
        <v>58165</v>
      </c>
      <c r="Q6" s="330">
        <f t="shared" si="5"/>
        <v>4244.66</v>
      </c>
      <c r="R6" s="330">
        <f t="shared" si="6"/>
        <v>2925.4</v>
      </c>
    </row>
    <row r="7" spans="1:18" x14ac:dyDescent="0.35">
      <c r="A7" s="286">
        <v>10</v>
      </c>
      <c r="B7" s="286" t="s">
        <v>40</v>
      </c>
      <c r="C7" s="326">
        <v>14</v>
      </c>
      <c r="D7" s="328">
        <v>11544</v>
      </c>
      <c r="E7" s="328">
        <v>6</v>
      </c>
      <c r="F7" s="328">
        <v>1</v>
      </c>
      <c r="G7" s="328">
        <v>173</v>
      </c>
      <c r="H7" s="328">
        <v>1087.22</v>
      </c>
      <c r="I7" s="328">
        <v>10.6</v>
      </c>
      <c r="K7" s="329">
        <v>34</v>
      </c>
      <c r="L7" s="292" t="s">
        <v>43</v>
      </c>
      <c r="M7" s="330">
        <f t="shared" si="1"/>
        <v>97263</v>
      </c>
      <c r="N7" s="330">
        <f t="shared" si="2"/>
        <v>28515</v>
      </c>
      <c r="O7" s="330">
        <f t="shared" si="3"/>
        <v>3</v>
      </c>
      <c r="P7" s="330">
        <f t="shared" si="4"/>
        <v>5441</v>
      </c>
      <c r="Q7" s="330">
        <f t="shared" si="5"/>
        <v>2701.49</v>
      </c>
      <c r="R7" s="330">
        <f t="shared" si="6"/>
        <v>210</v>
      </c>
    </row>
    <row r="8" spans="1:18" x14ac:dyDescent="0.35">
      <c r="A8" s="286">
        <v>16</v>
      </c>
      <c r="B8" s="286" t="s">
        <v>42</v>
      </c>
      <c r="C8" s="326">
        <v>7</v>
      </c>
      <c r="D8" s="328">
        <v>8149</v>
      </c>
      <c r="E8" s="328">
        <v>17</v>
      </c>
      <c r="F8" s="328">
        <v>3</v>
      </c>
      <c r="G8" s="328">
        <v>164</v>
      </c>
      <c r="H8" s="328">
        <v>563.29999999999995</v>
      </c>
      <c r="I8" s="328">
        <v>14.5</v>
      </c>
      <c r="K8" s="331">
        <v>35</v>
      </c>
      <c r="L8" s="301" t="s">
        <v>45</v>
      </c>
      <c r="M8" s="330">
        <f t="shared" si="1"/>
        <v>196997</v>
      </c>
      <c r="N8" s="330">
        <f t="shared" si="2"/>
        <v>2286</v>
      </c>
      <c r="O8" s="330">
        <f t="shared" si="3"/>
        <v>8</v>
      </c>
      <c r="P8" s="330">
        <f t="shared" si="4"/>
        <v>9952</v>
      </c>
      <c r="Q8" s="330">
        <f t="shared" si="5"/>
        <v>1668.93</v>
      </c>
      <c r="R8" s="330">
        <f t="shared" si="6"/>
        <v>1664.6999999999998</v>
      </c>
    </row>
    <row r="9" spans="1:18" x14ac:dyDescent="0.35">
      <c r="A9" s="286">
        <v>18</v>
      </c>
      <c r="B9" s="286" t="s">
        <v>44</v>
      </c>
      <c r="C9" s="326">
        <v>34</v>
      </c>
      <c r="D9" s="328">
        <v>4958</v>
      </c>
      <c r="E9" s="328">
        <v>167</v>
      </c>
      <c r="F9" s="328">
        <v>0</v>
      </c>
      <c r="G9" s="328">
        <v>125</v>
      </c>
      <c r="H9" s="328">
        <v>212.42</v>
      </c>
      <c r="I9" s="328">
        <v>23.3</v>
      </c>
      <c r="K9" s="311">
        <v>2</v>
      </c>
      <c r="L9" s="311" t="s">
        <v>47</v>
      </c>
      <c r="M9" s="330">
        <f t="shared" si="1"/>
        <v>478582</v>
      </c>
      <c r="N9" s="330">
        <f t="shared" si="2"/>
        <v>27138</v>
      </c>
      <c r="O9" s="330">
        <f t="shared" si="3"/>
        <v>21</v>
      </c>
      <c r="P9" s="330">
        <f t="shared" si="4"/>
        <v>34181</v>
      </c>
      <c r="Q9" s="330">
        <f t="shared" si="5"/>
        <v>10664.529999999999</v>
      </c>
      <c r="R9" s="330">
        <f t="shared" si="6"/>
        <v>2087.9</v>
      </c>
    </row>
    <row r="10" spans="1:18" x14ac:dyDescent="0.35">
      <c r="A10" s="286">
        <v>19</v>
      </c>
      <c r="B10" s="286" t="s">
        <v>46</v>
      </c>
      <c r="C10" s="326">
        <v>2</v>
      </c>
      <c r="D10" s="328">
        <v>3984</v>
      </c>
      <c r="E10" s="328">
        <v>27</v>
      </c>
      <c r="F10" s="328">
        <v>0</v>
      </c>
      <c r="G10" s="328">
        <v>112</v>
      </c>
      <c r="H10" s="328">
        <v>95.01</v>
      </c>
      <c r="I10" s="328">
        <v>41.9</v>
      </c>
      <c r="K10" s="311">
        <v>4</v>
      </c>
      <c r="L10" s="311" t="s">
        <v>49</v>
      </c>
      <c r="M10" s="330">
        <f t="shared" si="1"/>
        <v>218624</v>
      </c>
      <c r="N10" s="330">
        <f t="shared" si="2"/>
        <v>784</v>
      </c>
      <c r="O10" s="330">
        <f t="shared" si="3"/>
        <v>4</v>
      </c>
      <c r="P10" s="330">
        <f t="shared" si="4"/>
        <v>7632</v>
      </c>
      <c r="Q10" s="330">
        <f t="shared" si="5"/>
        <v>7820.3099999999995</v>
      </c>
      <c r="R10" s="330">
        <f t="shared" si="6"/>
        <v>412.7</v>
      </c>
    </row>
    <row r="11" spans="1:18" x14ac:dyDescent="0.35">
      <c r="A11" s="286">
        <v>20</v>
      </c>
      <c r="B11" s="286" t="s">
        <v>48</v>
      </c>
      <c r="C11" s="326">
        <v>6</v>
      </c>
      <c r="D11" s="328">
        <v>16611</v>
      </c>
      <c r="E11" s="328">
        <v>29</v>
      </c>
      <c r="F11" s="328">
        <v>0</v>
      </c>
      <c r="G11" s="328">
        <v>363</v>
      </c>
      <c r="H11" s="328">
        <v>293.26</v>
      </c>
      <c r="I11" s="328">
        <v>56.6</v>
      </c>
      <c r="K11" s="311">
        <v>5</v>
      </c>
      <c r="L11" s="311" t="s">
        <v>51</v>
      </c>
      <c r="M11" s="330">
        <f t="shared" si="1"/>
        <v>171364</v>
      </c>
      <c r="N11" s="330">
        <f t="shared" si="2"/>
        <v>619</v>
      </c>
      <c r="O11" s="330">
        <f t="shared" si="3"/>
        <v>10</v>
      </c>
      <c r="P11" s="330">
        <f t="shared" si="4"/>
        <v>7001</v>
      </c>
      <c r="Q11" s="330">
        <f t="shared" si="5"/>
        <v>5198.75</v>
      </c>
      <c r="R11" s="330">
        <f t="shared" si="6"/>
        <v>501.4</v>
      </c>
    </row>
    <row r="12" spans="1:18" x14ac:dyDescent="0.35">
      <c r="A12" s="286">
        <v>46</v>
      </c>
      <c r="B12" s="286" t="s">
        <v>50</v>
      </c>
      <c r="C12" s="326">
        <v>10</v>
      </c>
      <c r="D12" s="328">
        <v>1405</v>
      </c>
      <c r="E12" s="328">
        <v>2</v>
      </c>
      <c r="F12" s="328">
        <v>0</v>
      </c>
      <c r="G12" s="328">
        <v>42</v>
      </c>
      <c r="H12" s="328">
        <v>305.58</v>
      </c>
      <c r="I12" s="328">
        <v>4.5999999999999996</v>
      </c>
      <c r="K12" s="311">
        <v>6</v>
      </c>
      <c r="L12" s="311" t="s">
        <v>53</v>
      </c>
      <c r="M12" s="330">
        <f t="shared" si="1"/>
        <v>517333</v>
      </c>
      <c r="N12" s="330">
        <f t="shared" si="2"/>
        <v>1973</v>
      </c>
      <c r="O12" s="330">
        <f t="shared" si="3"/>
        <v>25</v>
      </c>
      <c r="P12" s="330">
        <f t="shared" si="4"/>
        <v>24997</v>
      </c>
      <c r="Q12" s="330">
        <f t="shared" si="5"/>
        <v>13248.210000000003</v>
      </c>
      <c r="R12" s="330">
        <f t="shared" si="6"/>
        <v>1259.2999999999997</v>
      </c>
    </row>
    <row r="13" spans="1:18" x14ac:dyDescent="0.35">
      <c r="A13" s="286">
        <v>47</v>
      </c>
      <c r="B13" s="286" t="s">
        <v>52</v>
      </c>
      <c r="C13" s="326">
        <v>19</v>
      </c>
      <c r="D13" s="328">
        <v>1852</v>
      </c>
      <c r="E13" s="328">
        <v>17</v>
      </c>
      <c r="F13" s="328">
        <v>196</v>
      </c>
      <c r="G13" s="328">
        <v>35</v>
      </c>
      <c r="H13" s="328">
        <v>7952.91</v>
      </c>
      <c r="I13" s="328">
        <v>0.2</v>
      </c>
      <c r="K13" s="311">
        <v>7</v>
      </c>
      <c r="L13" s="311" t="s">
        <v>55</v>
      </c>
      <c r="M13" s="330">
        <f t="shared" si="1"/>
        <v>207394</v>
      </c>
      <c r="N13" s="330">
        <f t="shared" si="2"/>
        <v>738</v>
      </c>
      <c r="O13" s="330">
        <f t="shared" si="3"/>
        <v>25</v>
      </c>
      <c r="P13" s="330">
        <f t="shared" si="4"/>
        <v>10705</v>
      </c>
      <c r="Q13" s="330">
        <f t="shared" si="5"/>
        <v>5713.57</v>
      </c>
      <c r="R13" s="330">
        <f t="shared" si="6"/>
        <v>405.50000000000006</v>
      </c>
    </row>
    <row r="14" spans="1:18" x14ac:dyDescent="0.35">
      <c r="A14" s="286">
        <v>49</v>
      </c>
      <c r="B14" s="286" t="s">
        <v>54</v>
      </c>
      <c r="C14" s="326">
        <v>33</v>
      </c>
      <c r="D14" s="328">
        <v>283632</v>
      </c>
      <c r="E14" s="328">
        <v>19999</v>
      </c>
      <c r="F14" s="328">
        <v>15</v>
      </c>
      <c r="G14" s="328">
        <v>48085</v>
      </c>
      <c r="H14" s="328">
        <v>312.33</v>
      </c>
      <c r="I14" s="328">
        <v>908.1</v>
      </c>
      <c r="K14" s="311">
        <v>8</v>
      </c>
      <c r="L14" s="311" t="s">
        <v>57</v>
      </c>
      <c r="M14" s="330">
        <f t="shared" si="1"/>
        <v>166623</v>
      </c>
      <c r="N14" s="330">
        <f t="shared" si="2"/>
        <v>1273</v>
      </c>
      <c r="O14" s="330">
        <f t="shared" si="3"/>
        <v>4</v>
      </c>
      <c r="P14" s="330">
        <f t="shared" si="4"/>
        <v>10113</v>
      </c>
      <c r="Q14" s="330">
        <f t="shared" si="5"/>
        <v>4559.28</v>
      </c>
      <c r="R14" s="330">
        <f t="shared" si="6"/>
        <v>289.3</v>
      </c>
    </row>
    <row r="15" spans="1:18" x14ac:dyDescent="0.35">
      <c r="A15" s="286">
        <v>50</v>
      </c>
      <c r="B15" s="286" t="s">
        <v>56</v>
      </c>
      <c r="C15" s="326">
        <v>4</v>
      </c>
      <c r="D15" s="328">
        <v>11748</v>
      </c>
      <c r="E15" s="328">
        <v>21</v>
      </c>
      <c r="F15" s="328">
        <v>0</v>
      </c>
      <c r="G15" s="328">
        <v>367</v>
      </c>
      <c r="H15" s="328">
        <v>578.79999999999995</v>
      </c>
      <c r="I15" s="328">
        <v>20.3</v>
      </c>
      <c r="K15" s="311">
        <v>9</v>
      </c>
      <c r="L15" s="311" t="s">
        <v>59</v>
      </c>
      <c r="M15" s="330">
        <f t="shared" si="1"/>
        <v>128756</v>
      </c>
      <c r="N15" s="330">
        <f t="shared" si="2"/>
        <v>224</v>
      </c>
      <c r="O15" s="330">
        <f t="shared" si="3"/>
        <v>2</v>
      </c>
      <c r="P15" s="330">
        <f t="shared" si="4"/>
        <v>7874</v>
      </c>
      <c r="Q15" s="330">
        <f t="shared" si="5"/>
        <v>5326.5600000000013</v>
      </c>
      <c r="R15" s="330">
        <f t="shared" si="6"/>
        <v>287.7999999999999</v>
      </c>
    </row>
    <row r="16" spans="1:18" x14ac:dyDescent="0.35">
      <c r="A16" s="286">
        <v>51</v>
      </c>
      <c r="B16" s="286" t="s">
        <v>58</v>
      </c>
      <c r="C16" s="326">
        <v>4</v>
      </c>
      <c r="D16" s="328">
        <v>9454</v>
      </c>
      <c r="E16" s="328">
        <v>31</v>
      </c>
      <c r="F16" s="328">
        <v>0</v>
      </c>
      <c r="G16" s="328">
        <v>327</v>
      </c>
      <c r="H16" s="328">
        <v>514.77</v>
      </c>
      <c r="I16" s="328">
        <v>18.399999999999999</v>
      </c>
      <c r="K16" s="311">
        <v>10</v>
      </c>
      <c r="L16" s="332" t="s">
        <v>61</v>
      </c>
      <c r="M16" s="330">
        <f t="shared" si="1"/>
        <v>136474</v>
      </c>
      <c r="N16" s="330">
        <f t="shared" si="2"/>
        <v>209</v>
      </c>
      <c r="O16" s="330">
        <f t="shared" si="3"/>
        <v>2</v>
      </c>
      <c r="P16" s="330">
        <f t="shared" si="4"/>
        <v>4524</v>
      </c>
      <c r="Q16" s="330">
        <f t="shared" si="5"/>
        <v>12651.250000000002</v>
      </c>
      <c r="R16" s="330">
        <f t="shared" si="6"/>
        <v>91.199999999999989</v>
      </c>
    </row>
    <row r="17" spans="1:19" x14ac:dyDescent="0.35">
      <c r="A17" s="286">
        <v>52</v>
      </c>
      <c r="B17" s="286" t="s">
        <v>60</v>
      </c>
      <c r="C17" s="326">
        <v>14</v>
      </c>
      <c r="D17" s="328">
        <v>2473</v>
      </c>
      <c r="E17" s="328">
        <v>48</v>
      </c>
      <c r="F17" s="328">
        <v>0</v>
      </c>
      <c r="G17" s="328">
        <v>77</v>
      </c>
      <c r="H17" s="328">
        <v>354.15</v>
      </c>
      <c r="I17" s="328">
        <v>7</v>
      </c>
      <c r="K17" s="311">
        <v>11</v>
      </c>
      <c r="L17" s="332" t="s">
        <v>63</v>
      </c>
      <c r="M17" s="330">
        <f t="shared" si="1"/>
        <v>250414</v>
      </c>
      <c r="N17" s="330">
        <f t="shared" si="2"/>
        <v>260</v>
      </c>
      <c r="O17" s="330">
        <f t="shared" si="3"/>
        <v>7</v>
      </c>
      <c r="P17" s="330">
        <f t="shared" si="4"/>
        <v>7523</v>
      </c>
      <c r="Q17" s="330">
        <f t="shared" si="5"/>
        <v>17344.769999999997</v>
      </c>
      <c r="R17" s="330">
        <f t="shared" si="6"/>
        <v>255.6</v>
      </c>
    </row>
    <row r="18" spans="1:19" x14ac:dyDescent="0.35">
      <c r="A18" s="286">
        <v>61</v>
      </c>
      <c r="B18" s="286" t="s">
        <v>62</v>
      </c>
      <c r="C18" s="326">
        <v>5</v>
      </c>
      <c r="D18" s="328">
        <v>17028</v>
      </c>
      <c r="E18" s="328">
        <v>41</v>
      </c>
      <c r="F18" s="328">
        <v>1</v>
      </c>
      <c r="G18" s="328">
        <v>847</v>
      </c>
      <c r="H18" s="328">
        <v>248.76</v>
      </c>
      <c r="I18" s="328">
        <v>68.5</v>
      </c>
      <c r="K18" s="311">
        <v>12</v>
      </c>
      <c r="L18" s="311" t="s">
        <v>65</v>
      </c>
      <c r="M18" s="330">
        <f t="shared" si="1"/>
        <v>165569</v>
      </c>
      <c r="N18" s="330">
        <f t="shared" si="2"/>
        <v>146</v>
      </c>
      <c r="O18" s="330">
        <f t="shared" si="3"/>
        <v>7</v>
      </c>
      <c r="P18" s="330">
        <f t="shared" si="4"/>
        <v>6108</v>
      </c>
      <c r="Q18" s="330">
        <f t="shared" si="5"/>
        <v>18790.96</v>
      </c>
      <c r="R18" s="330">
        <f t="shared" si="6"/>
        <v>122.19999999999999</v>
      </c>
    </row>
    <row r="19" spans="1:19" x14ac:dyDescent="0.35">
      <c r="A19" s="286">
        <v>69</v>
      </c>
      <c r="B19" s="286" t="s">
        <v>64</v>
      </c>
      <c r="C19" s="326">
        <v>17</v>
      </c>
      <c r="D19" s="328">
        <v>7147</v>
      </c>
      <c r="E19" s="328">
        <v>9</v>
      </c>
      <c r="F19" s="328">
        <v>0</v>
      </c>
      <c r="G19" s="328">
        <v>121</v>
      </c>
      <c r="H19" s="328">
        <v>766.18</v>
      </c>
      <c r="I19" s="328">
        <v>9.3000000000000007</v>
      </c>
      <c r="K19" s="311">
        <v>13</v>
      </c>
      <c r="L19" s="311" t="s">
        <v>67</v>
      </c>
      <c r="M19" s="330">
        <f t="shared" si="1"/>
        <v>273283</v>
      </c>
      <c r="N19" s="330">
        <f t="shared" si="2"/>
        <v>466</v>
      </c>
      <c r="O19" s="330">
        <f t="shared" si="3"/>
        <v>24</v>
      </c>
      <c r="P19" s="330">
        <f t="shared" si="4"/>
        <v>9100</v>
      </c>
      <c r="Q19" s="330">
        <f t="shared" si="5"/>
        <v>16042.229999999998</v>
      </c>
      <c r="R19" s="330">
        <f t="shared" si="6"/>
        <v>346</v>
      </c>
    </row>
    <row r="20" spans="1:19" x14ac:dyDescent="0.35">
      <c r="A20" s="286">
        <v>71</v>
      </c>
      <c r="B20" s="286" t="s">
        <v>66</v>
      </c>
      <c r="C20" s="326">
        <v>17</v>
      </c>
      <c r="D20" s="328">
        <v>6854</v>
      </c>
      <c r="E20" s="328">
        <v>2</v>
      </c>
      <c r="F20" s="328">
        <v>2</v>
      </c>
      <c r="G20" s="328">
        <v>93</v>
      </c>
      <c r="H20" s="328">
        <v>1049.82</v>
      </c>
      <c r="I20" s="328">
        <v>6.5</v>
      </c>
      <c r="K20" s="311">
        <v>14</v>
      </c>
      <c r="L20" s="311" t="s">
        <v>69</v>
      </c>
      <c r="M20" s="330">
        <f t="shared" si="1"/>
        <v>194316</v>
      </c>
      <c r="N20" s="330">
        <f t="shared" si="2"/>
        <v>601</v>
      </c>
      <c r="O20" s="330">
        <f t="shared" si="3"/>
        <v>5</v>
      </c>
      <c r="P20" s="330">
        <f t="shared" si="4"/>
        <v>4147</v>
      </c>
      <c r="Q20" s="330">
        <f t="shared" si="5"/>
        <v>13798.28</v>
      </c>
      <c r="R20" s="330">
        <f t="shared" si="6"/>
        <v>215</v>
      </c>
    </row>
    <row r="21" spans="1:19" x14ac:dyDescent="0.35">
      <c r="A21" s="286">
        <v>72</v>
      </c>
      <c r="B21" s="286" t="s">
        <v>68</v>
      </c>
      <c r="C21" s="326">
        <v>17</v>
      </c>
      <c r="D21" s="328">
        <v>974</v>
      </c>
      <c r="E21" s="328">
        <v>0</v>
      </c>
      <c r="F21" s="328">
        <v>0</v>
      </c>
      <c r="G21" s="328">
        <v>15</v>
      </c>
      <c r="H21" s="328">
        <v>201.47</v>
      </c>
      <c r="I21" s="328">
        <v>4.8</v>
      </c>
      <c r="K21" s="311">
        <v>15</v>
      </c>
      <c r="L21" s="311" t="s">
        <v>71</v>
      </c>
      <c r="M21" s="330">
        <f t="shared" si="1"/>
        <v>176193</v>
      </c>
      <c r="N21" s="330">
        <f t="shared" si="2"/>
        <v>89403</v>
      </c>
      <c r="O21" s="330">
        <f t="shared" si="3"/>
        <v>10</v>
      </c>
      <c r="P21" s="330">
        <f t="shared" si="4"/>
        <v>12209</v>
      </c>
      <c r="Q21" s="330">
        <f t="shared" si="5"/>
        <v>7400.92</v>
      </c>
      <c r="R21" s="330">
        <f t="shared" si="6"/>
        <v>678.9</v>
      </c>
    </row>
    <row r="22" spans="1:19" x14ac:dyDescent="0.35">
      <c r="A22" s="286">
        <v>74</v>
      </c>
      <c r="B22" s="286" t="s">
        <v>70</v>
      </c>
      <c r="C22" s="326">
        <v>16</v>
      </c>
      <c r="D22" s="328">
        <v>1165</v>
      </c>
      <c r="E22" s="328">
        <v>9</v>
      </c>
      <c r="F22" s="328">
        <v>0</v>
      </c>
      <c r="G22" s="328">
        <v>41</v>
      </c>
      <c r="H22" s="328">
        <v>413.02</v>
      </c>
      <c r="I22" s="328">
        <v>2.8</v>
      </c>
      <c r="K22" s="311">
        <v>16</v>
      </c>
      <c r="L22" s="311" t="s">
        <v>73</v>
      </c>
      <c r="M22" s="330">
        <f t="shared" si="1"/>
        <v>68437</v>
      </c>
      <c r="N22" s="330">
        <f t="shared" si="2"/>
        <v>6186</v>
      </c>
      <c r="O22" s="330">
        <f t="shared" si="3"/>
        <v>2</v>
      </c>
      <c r="P22" s="330">
        <f t="shared" si="4"/>
        <v>1984</v>
      </c>
      <c r="Q22" s="330">
        <f t="shared" si="5"/>
        <v>5019.55</v>
      </c>
      <c r="R22" s="330">
        <f t="shared" si="6"/>
        <v>76.3</v>
      </c>
    </row>
    <row r="23" spans="1:19" x14ac:dyDescent="0.35">
      <c r="A23" s="286">
        <v>75</v>
      </c>
      <c r="B23" s="286" t="s">
        <v>72</v>
      </c>
      <c r="C23" s="326">
        <v>8</v>
      </c>
      <c r="D23" s="328">
        <v>20286</v>
      </c>
      <c r="E23" s="328">
        <v>71</v>
      </c>
      <c r="F23" s="328">
        <v>0</v>
      </c>
      <c r="G23" s="328">
        <v>1221</v>
      </c>
      <c r="H23" s="328">
        <v>609.79999999999995</v>
      </c>
      <c r="I23" s="328">
        <v>33.299999999999997</v>
      </c>
      <c r="K23" s="311">
        <v>17</v>
      </c>
      <c r="L23" s="311" t="s">
        <v>75</v>
      </c>
      <c r="M23" s="330">
        <f t="shared" si="1"/>
        <v>412161</v>
      </c>
      <c r="N23" s="330">
        <f t="shared" si="2"/>
        <v>787</v>
      </c>
      <c r="O23" s="330">
        <f t="shared" si="3"/>
        <v>169</v>
      </c>
      <c r="P23" s="330">
        <f t="shared" si="4"/>
        <v>11666</v>
      </c>
      <c r="Q23" s="330">
        <f t="shared" si="5"/>
        <v>36818.429999999993</v>
      </c>
      <c r="R23" s="330">
        <f t="shared" si="6"/>
        <v>466.20000000000005</v>
      </c>
    </row>
    <row r="24" spans="1:19" x14ac:dyDescent="0.35">
      <c r="A24" s="286">
        <v>77</v>
      </c>
      <c r="B24" s="286" t="s">
        <v>74</v>
      </c>
      <c r="C24" s="326">
        <v>13</v>
      </c>
      <c r="D24" s="328">
        <v>4939</v>
      </c>
      <c r="E24" s="328">
        <v>10</v>
      </c>
      <c r="F24" s="328">
        <v>0</v>
      </c>
      <c r="G24" s="328">
        <v>69</v>
      </c>
      <c r="H24" s="328">
        <v>571.69000000000005</v>
      </c>
      <c r="I24" s="328">
        <v>8.6</v>
      </c>
      <c r="K24" s="311">
        <v>18</v>
      </c>
      <c r="L24" s="311" t="s">
        <v>77</v>
      </c>
      <c r="M24" s="330">
        <f t="shared" si="1"/>
        <v>73061</v>
      </c>
      <c r="N24" s="330">
        <f t="shared" si="2"/>
        <v>75</v>
      </c>
      <c r="O24" s="330">
        <f t="shared" si="3"/>
        <v>2</v>
      </c>
      <c r="P24" s="330">
        <f t="shared" si="4"/>
        <v>2002</v>
      </c>
      <c r="Q24" s="330">
        <f t="shared" si="5"/>
        <v>20196.96</v>
      </c>
      <c r="R24" s="330">
        <f t="shared" si="6"/>
        <v>35.1</v>
      </c>
    </row>
    <row r="25" spans="1:19" x14ac:dyDescent="0.35">
      <c r="A25" s="286">
        <v>78</v>
      </c>
      <c r="B25" s="286" t="s">
        <v>76</v>
      </c>
      <c r="C25" s="326">
        <v>33</v>
      </c>
      <c r="D25" s="328">
        <v>8379</v>
      </c>
      <c r="E25" s="328">
        <v>3575</v>
      </c>
      <c r="F25" s="328">
        <v>1</v>
      </c>
      <c r="G25" s="328">
        <v>386</v>
      </c>
      <c r="H25" s="328">
        <v>117.41</v>
      </c>
      <c r="I25" s="328">
        <v>71.400000000000006</v>
      </c>
      <c r="K25" s="311">
        <v>19</v>
      </c>
      <c r="L25" s="311" t="s">
        <v>79</v>
      </c>
      <c r="M25" s="330">
        <f t="shared" si="1"/>
        <v>178522</v>
      </c>
      <c r="N25" s="330">
        <f t="shared" si="2"/>
        <v>458</v>
      </c>
      <c r="O25" s="330">
        <f t="shared" si="3"/>
        <v>1544</v>
      </c>
      <c r="P25" s="330">
        <f t="shared" si="4"/>
        <v>5038</v>
      </c>
      <c r="Q25" s="330">
        <f t="shared" si="5"/>
        <v>92674.719999999987</v>
      </c>
      <c r="R25" s="330">
        <f t="shared" si="6"/>
        <v>278.89999999999992</v>
      </c>
    </row>
    <row r="26" spans="1:19" x14ac:dyDescent="0.35">
      <c r="A26" s="286">
        <v>79</v>
      </c>
      <c r="B26" s="286" t="s">
        <v>78</v>
      </c>
      <c r="C26" s="326">
        <v>4</v>
      </c>
      <c r="D26" s="328">
        <v>7018</v>
      </c>
      <c r="E26" s="328">
        <v>12</v>
      </c>
      <c r="F26" s="328">
        <v>0</v>
      </c>
      <c r="G26" s="328">
        <v>226</v>
      </c>
      <c r="H26" s="328">
        <v>123.46</v>
      </c>
      <c r="I26" s="328">
        <v>56.8</v>
      </c>
    </row>
    <row r="27" spans="1:19" x14ac:dyDescent="0.35">
      <c r="A27" s="286">
        <v>81</v>
      </c>
      <c r="B27" s="286" t="s">
        <v>80</v>
      </c>
      <c r="C27" s="326">
        <v>7</v>
      </c>
      <c r="D27" s="328">
        <v>2780</v>
      </c>
      <c r="E27" s="328">
        <v>1</v>
      </c>
      <c r="F27" s="328">
        <v>0</v>
      </c>
      <c r="G27" s="328">
        <v>92</v>
      </c>
      <c r="H27" s="328">
        <v>542.71</v>
      </c>
      <c r="I27" s="328">
        <v>5.0999999999999996</v>
      </c>
    </row>
    <row r="28" spans="1:19" x14ac:dyDescent="0.35">
      <c r="A28" s="286">
        <v>82</v>
      </c>
      <c r="B28" s="286" t="s">
        <v>81</v>
      </c>
      <c r="C28" s="326">
        <v>5</v>
      </c>
      <c r="D28" s="328">
        <v>9475</v>
      </c>
      <c r="E28" s="328">
        <v>32</v>
      </c>
      <c r="F28" s="328">
        <v>0</v>
      </c>
      <c r="G28" s="328">
        <v>171</v>
      </c>
      <c r="H28" s="328">
        <v>357.81</v>
      </c>
      <c r="I28" s="328">
        <v>26.5</v>
      </c>
      <c r="L28" s="304"/>
      <c r="M28" s="290"/>
    </row>
    <row r="29" spans="1:19" x14ac:dyDescent="0.35">
      <c r="A29" s="286">
        <v>86</v>
      </c>
      <c r="B29" s="286" t="s">
        <v>82</v>
      </c>
      <c r="C29" s="326">
        <v>5</v>
      </c>
      <c r="D29" s="328">
        <v>8417</v>
      </c>
      <c r="E29" s="328">
        <v>32</v>
      </c>
      <c r="F29" s="328">
        <v>2</v>
      </c>
      <c r="G29" s="328">
        <v>245</v>
      </c>
      <c r="H29" s="328">
        <v>389.36</v>
      </c>
      <c r="I29" s="328">
        <v>21.6</v>
      </c>
      <c r="N29" s="304"/>
      <c r="O29" s="304"/>
      <c r="P29" s="304"/>
      <c r="Q29" s="304"/>
      <c r="R29" s="304"/>
      <c r="S29" s="304"/>
    </row>
    <row r="30" spans="1:19" x14ac:dyDescent="0.35">
      <c r="A30" s="286">
        <v>90</v>
      </c>
      <c r="B30" s="286" t="s">
        <v>83</v>
      </c>
      <c r="C30" s="326">
        <v>12</v>
      </c>
      <c r="D30" s="328">
        <v>3329</v>
      </c>
      <c r="E30" s="328">
        <v>8</v>
      </c>
      <c r="F30" s="328">
        <v>0</v>
      </c>
      <c r="G30" s="328">
        <v>80</v>
      </c>
      <c r="H30" s="328">
        <v>1029.96</v>
      </c>
      <c r="I30" s="328">
        <v>3.2</v>
      </c>
      <c r="N30" s="304"/>
    </row>
    <row r="31" spans="1:19" x14ac:dyDescent="0.35">
      <c r="A31" s="286">
        <v>91</v>
      </c>
      <c r="B31" s="286" t="s">
        <v>37</v>
      </c>
      <c r="C31" s="326">
        <v>31</v>
      </c>
      <c r="D31" s="328">
        <v>648042</v>
      </c>
      <c r="E31" s="328">
        <v>36533</v>
      </c>
      <c r="F31" s="328">
        <v>67</v>
      </c>
      <c r="G31" s="328">
        <v>101825</v>
      </c>
      <c r="H31" s="328">
        <v>214.25</v>
      </c>
      <c r="I31" s="328">
        <v>3024.7</v>
      </c>
      <c r="N31" s="304"/>
    </row>
    <row r="32" spans="1:19" x14ac:dyDescent="0.35">
      <c r="A32" s="286">
        <v>92</v>
      </c>
      <c r="B32" s="286" t="s">
        <v>84</v>
      </c>
      <c r="C32" s="326">
        <v>32</v>
      </c>
      <c r="D32" s="328">
        <v>228166</v>
      </c>
      <c r="E32" s="328">
        <v>5559</v>
      </c>
      <c r="F32" s="328">
        <v>21</v>
      </c>
      <c r="G32" s="328">
        <v>43129</v>
      </c>
      <c r="H32" s="328">
        <v>238.37</v>
      </c>
      <c r="I32" s="328">
        <v>957.2</v>
      </c>
      <c r="N32" s="304"/>
    </row>
    <row r="33" spans="1:14" x14ac:dyDescent="0.35">
      <c r="A33" s="286">
        <v>97</v>
      </c>
      <c r="B33" s="286" t="s">
        <v>85</v>
      </c>
      <c r="C33" s="326">
        <v>10</v>
      </c>
      <c r="D33" s="328">
        <v>2152</v>
      </c>
      <c r="E33" s="328">
        <v>8</v>
      </c>
      <c r="F33" s="328">
        <v>0</v>
      </c>
      <c r="G33" s="328">
        <v>35</v>
      </c>
      <c r="H33" s="328">
        <v>465.28</v>
      </c>
      <c r="I33" s="328">
        <v>4.5999999999999996</v>
      </c>
      <c r="N33" s="304"/>
    </row>
    <row r="34" spans="1:14" x14ac:dyDescent="0.35">
      <c r="A34" s="286">
        <v>98</v>
      </c>
      <c r="B34" s="286" t="s">
        <v>86</v>
      </c>
      <c r="C34" s="326">
        <v>7</v>
      </c>
      <c r="D34" s="328">
        <v>23602</v>
      </c>
      <c r="E34" s="328">
        <v>73</v>
      </c>
      <c r="F34" s="328">
        <v>0</v>
      </c>
      <c r="G34" s="328">
        <v>636</v>
      </c>
      <c r="H34" s="328">
        <v>651.16</v>
      </c>
      <c r="I34" s="328">
        <v>36.200000000000003</v>
      </c>
      <c r="L34" s="304"/>
      <c r="M34" s="290"/>
      <c r="N34" s="304"/>
    </row>
    <row r="35" spans="1:14" x14ac:dyDescent="0.35">
      <c r="A35" s="286">
        <v>99</v>
      </c>
      <c r="B35" s="286" t="s">
        <v>87</v>
      </c>
      <c r="C35" s="326">
        <v>4</v>
      </c>
      <c r="D35" s="328">
        <v>1666</v>
      </c>
      <c r="E35" s="328">
        <v>4</v>
      </c>
      <c r="F35" s="328">
        <v>0</v>
      </c>
      <c r="G35" s="328">
        <v>108</v>
      </c>
      <c r="H35" s="328">
        <v>331.49</v>
      </c>
      <c r="I35" s="328">
        <v>5</v>
      </c>
    </row>
    <row r="36" spans="1:14" x14ac:dyDescent="0.35">
      <c r="A36" s="286">
        <v>102</v>
      </c>
      <c r="B36" s="286" t="s">
        <v>88</v>
      </c>
      <c r="C36" s="326">
        <v>4</v>
      </c>
      <c r="D36" s="328">
        <v>10091</v>
      </c>
      <c r="E36" s="328">
        <v>17</v>
      </c>
      <c r="F36" s="328">
        <v>0</v>
      </c>
      <c r="G36" s="328">
        <v>382</v>
      </c>
      <c r="H36" s="328">
        <v>532.64</v>
      </c>
      <c r="I36" s="328">
        <v>18.899999999999999</v>
      </c>
    </row>
    <row r="37" spans="1:14" x14ac:dyDescent="0.35">
      <c r="A37" s="286">
        <v>103</v>
      </c>
      <c r="B37" s="286" t="s">
        <v>89</v>
      </c>
      <c r="C37" s="326">
        <v>5</v>
      </c>
      <c r="D37" s="328">
        <v>2235</v>
      </c>
      <c r="E37" s="328">
        <v>5</v>
      </c>
      <c r="F37" s="328">
        <v>0</v>
      </c>
      <c r="G37" s="328">
        <v>38</v>
      </c>
      <c r="H37" s="328">
        <v>147.96</v>
      </c>
      <c r="I37" s="328">
        <v>15.1</v>
      </c>
      <c r="L37" s="333"/>
      <c r="M37" s="333"/>
    </row>
    <row r="38" spans="1:14" x14ac:dyDescent="0.35">
      <c r="A38" s="286">
        <v>105</v>
      </c>
      <c r="B38" s="286" t="s">
        <v>90</v>
      </c>
      <c r="C38" s="326">
        <v>18</v>
      </c>
      <c r="D38" s="328">
        <v>2287</v>
      </c>
      <c r="E38" s="328">
        <v>2</v>
      </c>
      <c r="F38" s="328">
        <v>0</v>
      </c>
      <c r="G38" s="328">
        <v>32</v>
      </c>
      <c r="H38" s="328">
        <v>1421.1</v>
      </c>
      <c r="I38" s="328">
        <v>1.6</v>
      </c>
    </row>
    <row r="39" spans="1:14" x14ac:dyDescent="0.35">
      <c r="A39" s="286">
        <v>106</v>
      </c>
      <c r="B39" s="286" t="s">
        <v>91</v>
      </c>
      <c r="C39" s="326">
        <v>35</v>
      </c>
      <c r="D39" s="328">
        <v>46504</v>
      </c>
      <c r="E39" s="328">
        <v>419</v>
      </c>
      <c r="F39" s="328">
        <v>0</v>
      </c>
      <c r="G39" s="328">
        <v>2701</v>
      </c>
      <c r="H39" s="328">
        <v>322.68</v>
      </c>
      <c r="I39" s="328">
        <v>144.1</v>
      </c>
    </row>
    <row r="40" spans="1:14" x14ac:dyDescent="0.35">
      <c r="A40" s="286">
        <v>108</v>
      </c>
      <c r="B40" s="286" t="s">
        <v>92</v>
      </c>
      <c r="C40" s="326">
        <v>6</v>
      </c>
      <c r="D40" s="328">
        <v>10510</v>
      </c>
      <c r="E40" s="328">
        <v>17</v>
      </c>
      <c r="F40" s="328">
        <v>2</v>
      </c>
      <c r="G40" s="328">
        <v>197</v>
      </c>
      <c r="H40" s="328">
        <v>463.89</v>
      </c>
      <c r="I40" s="328">
        <v>22.7</v>
      </c>
    </row>
    <row r="41" spans="1:14" x14ac:dyDescent="0.35">
      <c r="A41" s="286">
        <v>109</v>
      </c>
      <c r="B41" s="286" t="s">
        <v>93</v>
      </c>
      <c r="C41" s="326">
        <v>5</v>
      </c>
      <c r="D41" s="328">
        <v>67532</v>
      </c>
      <c r="E41" s="328">
        <v>242</v>
      </c>
      <c r="F41" s="328">
        <v>7</v>
      </c>
      <c r="G41" s="328">
        <v>3382</v>
      </c>
      <c r="H41" s="328">
        <v>1785.07</v>
      </c>
      <c r="I41" s="328">
        <v>37.799999999999997</v>
      </c>
    </row>
    <row r="42" spans="1:14" x14ac:dyDescent="0.35">
      <c r="A42" s="286">
        <v>111</v>
      </c>
      <c r="B42" s="286" t="s">
        <v>94</v>
      </c>
      <c r="C42" s="326">
        <v>7</v>
      </c>
      <c r="D42" s="328">
        <v>18889</v>
      </c>
      <c r="E42" s="328">
        <v>38</v>
      </c>
      <c r="F42" s="328">
        <v>2</v>
      </c>
      <c r="G42" s="328">
        <v>660</v>
      </c>
      <c r="H42" s="328">
        <v>675.99</v>
      </c>
      <c r="I42" s="328">
        <v>27.9</v>
      </c>
    </row>
    <row r="43" spans="1:14" x14ac:dyDescent="0.35">
      <c r="A43" s="286">
        <v>139</v>
      </c>
      <c r="B43" s="286" t="s">
        <v>95</v>
      </c>
      <c r="C43" s="326">
        <v>17</v>
      </c>
      <c r="D43" s="328">
        <v>9862</v>
      </c>
      <c r="E43" s="328">
        <v>15</v>
      </c>
      <c r="F43" s="328">
        <v>1</v>
      </c>
      <c r="G43" s="328">
        <v>66</v>
      </c>
      <c r="H43" s="328">
        <v>1614.1</v>
      </c>
      <c r="I43" s="328">
        <v>6.1</v>
      </c>
    </row>
    <row r="44" spans="1:14" x14ac:dyDescent="0.35">
      <c r="A44" s="286">
        <v>140</v>
      </c>
      <c r="B44" s="286" t="s">
        <v>96</v>
      </c>
      <c r="C44" s="326">
        <v>11</v>
      </c>
      <c r="D44" s="328">
        <v>21472</v>
      </c>
      <c r="E44" s="328">
        <v>8</v>
      </c>
      <c r="F44" s="328">
        <v>2</v>
      </c>
      <c r="G44" s="328">
        <v>593</v>
      </c>
      <c r="H44" s="328">
        <v>763.03</v>
      </c>
      <c r="I44" s="328">
        <v>28.1</v>
      </c>
    </row>
    <row r="45" spans="1:14" x14ac:dyDescent="0.35">
      <c r="A45" s="286">
        <v>142</v>
      </c>
      <c r="B45" s="286" t="s">
        <v>97</v>
      </c>
      <c r="C45" s="326">
        <v>7</v>
      </c>
      <c r="D45" s="328">
        <v>6765</v>
      </c>
      <c r="E45" s="328">
        <v>16</v>
      </c>
      <c r="F45" s="328">
        <v>1</v>
      </c>
      <c r="G45" s="328">
        <v>129</v>
      </c>
      <c r="H45" s="328">
        <v>589.84</v>
      </c>
      <c r="I45" s="328">
        <v>11.5</v>
      </c>
    </row>
    <row r="46" spans="1:14" x14ac:dyDescent="0.35">
      <c r="A46" s="286">
        <v>143</v>
      </c>
      <c r="B46" s="286" t="s">
        <v>98</v>
      </c>
      <c r="C46" s="326">
        <v>6</v>
      </c>
      <c r="D46" s="328">
        <v>7003</v>
      </c>
      <c r="E46" s="328">
        <v>14</v>
      </c>
      <c r="F46" s="328">
        <v>0</v>
      </c>
      <c r="G46" s="328">
        <v>125</v>
      </c>
      <c r="H46" s="328">
        <v>750.36</v>
      </c>
      <c r="I46" s="328">
        <v>9.3000000000000007</v>
      </c>
    </row>
    <row r="47" spans="1:14" x14ac:dyDescent="0.35">
      <c r="A47" s="286">
        <v>145</v>
      </c>
      <c r="B47" s="286" t="s">
        <v>99</v>
      </c>
      <c r="C47" s="326">
        <v>14</v>
      </c>
      <c r="D47" s="328">
        <v>12187</v>
      </c>
      <c r="E47" s="328">
        <v>26</v>
      </c>
      <c r="F47" s="328">
        <v>0</v>
      </c>
      <c r="G47" s="328">
        <v>143</v>
      </c>
      <c r="H47" s="328">
        <v>576.79</v>
      </c>
      <c r="I47" s="328">
        <v>21.1</v>
      </c>
    </row>
    <row r="48" spans="1:14" x14ac:dyDescent="0.35">
      <c r="A48" s="286">
        <v>146</v>
      </c>
      <c r="B48" s="286" t="s">
        <v>100</v>
      </c>
      <c r="C48" s="326">
        <v>12</v>
      </c>
      <c r="D48" s="328">
        <v>4973</v>
      </c>
      <c r="E48" s="328">
        <v>4</v>
      </c>
      <c r="F48" s="328">
        <v>0</v>
      </c>
      <c r="G48" s="328">
        <v>158</v>
      </c>
      <c r="H48" s="328">
        <v>2763.39</v>
      </c>
      <c r="I48" s="328">
        <v>1.8</v>
      </c>
    </row>
    <row r="49" spans="1:9" x14ac:dyDescent="0.35">
      <c r="A49" s="286">
        <v>148</v>
      </c>
      <c r="B49" s="286" t="s">
        <v>101</v>
      </c>
      <c r="C49" s="326">
        <v>19</v>
      </c>
      <c r="D49" s="328">
        <v>6930</v>
      </c>
      <c r="E49" s="328">
        <v>23</v>
      </c>
      <c r="F49" s="328">
        <v>454</v>
      </c>
      <c r="G49" s="328">
        <v>199</v>
      </c>
      <c r="H49" s="328">
        <v>15056.29</v>
      </c>
      <c r="I49" s="328">
        <v>0.5</v>
      </c>
    </row>
    <row r="50" spans="1:9" x14ac:dyDescent="0.35">
      <c r="A50" s="286">
        <v>149</v>
      </c>
      <c r="B50" s="286" t="s">
        <v>102</v>
      </c>
      <c r="C50" s="326">
        <v>33</v>
      </c>
      <c r="D50" s="328">
        <v>5403</v>
      </c>
      <c r="E50" s="328">
        <v>2839</v>
      </c>
      <c r="F50" s="328">
        <v>0</v>
      </c>
      <c r="G50" s="328">
        <v>223</v>
      </c>
      <c r="H50" s="328">
        <v>349.89</v>
      </c>
      <c r="I50" s="328">
        <v>15.4</v>
      </c>
    </row>
    <row r="51" spans="1:9" x14ac:dyDescent="0.35">
      <c r="A51" s="286">
        <v>151</v>
      </c>
      <c r="B51" s="286" t="s">
        <v>103</v>
      </c>
      <c r="C51" s="326">
        <v>14</v>
      </c>
      <c r="D51" s="328">
        <v>1976</v>
      </c>
      <c r="E51" s="328">
        <v>19</v>
      </c>
      <c r="F51" s="328">
        <v>0</v>
      </c>
      <c r="G51" s="328">
        <v>69</v>
      </c>
      <c r="H51" s="328">
        <v>642.38</v>
      </c>
      <c r="I51" s="328">
        <v>3.1</v>
      </c>
    </row>
    <row r="52" spans="1:9" x14ac:dyDescent="0.35">
      <c r="A52" s="286">
        <v>152</v>
      </c>
      <c r="B52" s="286" t="s">
        <v>104</v>
      </c>
      <c r="C52" s="326">
        <v>14</v>
      </c>
      <c r="D52" s="328">
        <v>4601</v>
      </c>
      <c r="E52" s="328">
        <v>35</v>
      </c>
      <c r="F52" s="328">
        <v>0</v>
      </c>
      <c r="G52" s="328">
        <v>44</v>
      </c>
      <c r="H52" s="328">
        <v>354.13</v>
      </c>
      <c r="I52" s="328">
        <v>13</v>
      </c>
    </row>
    <row r="53" spans="1:9" x14ac:dyDescent="0.35">
      <c r="A53" s="286">
        <v>153</v>
      </c>
      <c r="B53" s="286" t="s">
        <v>105</v>
      </c>
      <c r="C53" s="326">
        <v>9</v>
      </c>
      <c r="D53" s="328">
        <v>26932</v>
      </c>
      <c r="E53" s="328">
        <v>40</v>
      </c>
      <c r="F53" s="328">
        <v>1</v>
      </c>
      <c r="G53" s="328">
        <v>1674</v>
      </c>
      <c r="H53" s="328">
        <v>155.01</v>
      </c>
      <c r="I53" s="328">
        <v>173.7</v>
      </c>
    </row>
    <row r="54" spans="1:9" x14ac:dyDescent="0.35">
      <c r="A54" s="286">
        <v>165</v>
      </c>
      <c r="B54" s="286" t="s">
        <v>106</v>
      </c>
      <c r="C54" s="326">
        <v>5</v>
      </c>
      <c r="D54" s="328">
        <v>16447</v>
      </c>
      <c r="E54" s="328">
        <v>62</v>
      </c>
      <c r="F54" s="328">
        <v>0</v>
      </c>
      <c r="G54" s="328">
        <v>475</v>
      </c>
      <c r="H54" s="328">
        <v>547.44000000000005</v>
      </c>
      <c r="I54" s="328">
        <v>30</v>
      </c>
    </row>
    <row r="55" spans="1:9" x14ac:dyDescent="0.35">
      <c r="A55" s="286">
        <v>167</v>
      </c>
      <c r="B55" s="286" t="s">
        <v>107</v>
      </c>
      <c r="C55" s="326">
        <v>12</v>
      </c>
      <c r="D55" s="328">
        <v>76551</v>
      </c>
      <c r="E55" s="328">
        <v>61</v>
      </c>
      <c r="F55" s="328">
        <v>3</v>
      </c>
      <c r="G55" s="328">
        <v>3623</v>
      </c>
      <c r="H55" s="328">
        <v>2381.65</v>
      </c>
      <c r="I55" s="328">
        <v>32.1</v>
      </c>
    </row>
    <row r="56" spans="1:9" x14ac:dyDescent="0.35">
      <c r="A56" s="286">
        <v>169</v>
      </c>
      <c r="B56" s="286" t="s">
        <v>108</v>
      </c>
      <c r="C56" s="326">
        <v>5</v>
      </c>
      <c r="D56" s="328">
        <v>5195</v>
      </c>
      <c r="E56" s="328">
        <v>27</v>
      </c>
      <c r="F56" s="328">
        <v>0</v>
      </c>
      <c r="G56" s="328">
        <v>116</v>
      </c>
      <c r="H56" s="328">
        <v>180.42</v>
      </c>
      <c r="I56" s="328">
        <v>28.8</v>
      </c>
    </row>
    <row r="57" spans="1:9" x14ac:dyDescent="0.35">
      <c r="A57" s="326">
        <v>171</v>
      </c>
      <c r="B57" s="326" t="s">
        <v>109</v>
      </c>
      <c r="C57" s="326">
        <v>11</v>
      </c>
      <c r="D57" s="328">
        <v>4812</v>
      </c>
      <c r="E57" s="328">
        <v>21</v>
      </c>
      <c r="F57" s="328">
        <v>0</v>
      </c>
      <c r="G57" s="328">
        <v>139</v>
      </c>
      <c r="H57" s="328">
        <v>575.12</v>
      </c>
      <c r="I57" s="328">
        <v>8.4</v>
      </c>
    </row>
    <row r="58" spans="1:9" x14ac:dyDescent="0.35">
      <c r="A58" s="286">
        <v>172</v>
      </c>
      <c r="B58" s="286" t="s">
        <v>110</v>
      </c>
      <c r="C58" s="326">
        <v>13</v>
      </c>
      <c r="D58" s="328">
        <v>4467</v>
      </c>
      <c r="E58" s="328">
        <v>11</v>
      </c>
      <c r="F58" s="328">
        <v>0</v>
      </c>
      <c r="G58" s="328">
        <v>87</v>
      </c>
      <c r="H58" s="328">
        <v>867.02</v>
      </c>
      <c r="I58" s="328">
        <v>5.2</v>
      </c>
    </row>
    <row r="59" spans="1:9" x14ac:dyDescent="0.35">
      <c r="A59" s="286">
        <v>176</v>
      </c>
      <c r="B59" s="286" t="s">
        <v>111</v>
      </c>
      <c r="C59" s="326">
        <v>12</v>
      </c>
      <c r="D59" s="328">
        <v>4709</v>
      </c>
      <c r="E59" s="328">
        <v>4</v>
      </c>
      <c r="F59" s="328">
        <v>0</v>
      </c>
      <c r="G59" s="328">
        <v>93</v>
      </c>
      <c r="H59" s="328">
        <v>1501.72</v>
      </c>
      <c r="I59" s="328">
        <v>3.1</v>
      </c>
    </row>
    <row r="60" spans="1:9" x14ac:dyDescent="0.35">
      <c r="A60" s="286">
        <v>177</v>
      </c>
      <c r="B60" s="286" t="s">
        <v>112</v>
      </c>
      <c r="C60" s="326">
        <v>6</v>
      </c>
      <c r="D60" s="328">
        <v>1884</v>
      </c>
      <c r="E60" s="328">
        <v>2</v>
      </c>
      <c r="F60" s="328">
        <v>0</v>
      </c>
      <c r="G60" s="328">
        <v>12</v>
      </c>
      <c r="H60" s="328">
        <v>258.5</v>
      </c>
      <c r="I60" s="328">
        <v>7.3</v>
      </c>
    </row>
    <row r="61" spans="1:9" x14ac:dyDescent="0.35">
      <c r="A61" s="286">
        <v>178</v>
      </c>
      <c r="B61" s="286" t="s">
        <v>113</v>
      </c>
      <c r="C61" s="326">
        <v>10</v>
      </c>
      <c r="D61" s="328">
        <v>6225</v>
      </c>
      <c r="E61" s="328">
        <v>20</v>
      </c>
      <c r="F61" s="328">
        <v>0</v>
      </c>
      <c r="G61" s="328">
        <v>151</v>
      </c>
      <c r="H61" s="328">
        <v>1163.18</v>
      </c>
      <c r="I61" s="328">
        <v>5.4</v>
      </c>
    </row>
    <row r="62" spans="1:9" x14ac:dyDescent="0.35">
      <c r="A62" s="286">
        <v>179</v>
      </c>
      <c r="B62" s="286" t="s">
        <v>114</v>
      </c>
      <c r="C62" s="326">
        <v>13</v>
      </c>
      <c r="D62" s="328">
        <v>141305</v>
      </c>
      <c r="E62" s="328">
        <v>303</v>
      </c>
      <c r="F62" s="328">
        <v>14</v>
      </c>
      <c r="G62" s="328">
        <v>7124</v>
      </c>
      <c r="H62" s="328">
        <v>1170.97</v>
      </c>
      <c r="I62" s="328">
        <v>120.7</v>
      </c>
    </row>
    <row r="63" spans="1:9" x14ac:dyDescent="0.35">
      <c r="A63" s="286">
        <v>181</v>
      </c>
      <c r="B63" s="286" t="s">
        <v>115</v>
      </c>
      <c r="C63" s="326">
        <v>4</v>
      </c>
      <c r="D63" s="328">
        <v>1809</v>
      </c>
      <c r="E63" s="328">
        <v>3</v>
      </c>
      <c r="F63" s="328">
        <v>0</v>
      </c>
      <c r="G63" s="328">
        <v>33</v>
      </c>
      <c r="H63" s="328">
        <v>214.3</v>
      </c>
      <c r="I63" s="328">
        <v>8.4</v>
      </c>
    </row>
    <row r="64" spans="1:9" x14ac:dyDescent="0.35">
      <c r="A64" s="286">
        <v>182</v>
      </c>
      <c r="B64" s="286" t="s">
        <v>116</v>
      </c>
      <c r="C64" s="326">
        <v>13</v>
      </c>
      <c r="D64" s="328">
        <v>20607</v>
      </c>
      <c r="E64" s="328">
        <v>35</v>
      </c>
      <c r="F64" s="328">
        <v>1</v>
      </c>
      <c r="G64" s="328">
        <v>420</v>
      </c>
      <c r="H64" s="328">
        <v>1571.36</v>
      </c>
      <c r="I64" s="328">
        <v>13.1</v>
      </c>
    </row>
    <row r="65" spans="1:9" x14ac:dyDescent="0.35">
      <c r="A65" s="286">
        <v>186</v>
      </c>
      <c r="B65" s="286" t="s">
        <v>117</v>
      </c>
      <c r="C65" s="326">
        <v>35</v>
      </c>
      <c r="D65" s="328">
        <v>43410</v>
      </c>
      <c r="E65" s="328">
        <v>447</v>
      </c>
      <c r="F65" s="328">
        <v>1</v>
      </c>
      <c r="G65" s="328">
        <v>2443</v>
      </c>
      <c r="H65" s="328">
        <v>37.54</v>
      </c>
      <c r="I65" s="328">
        <v>1156.4000000000001</v>
      </c>
    </row>
    <row r="66" spans="1:9" x14ac:dyDescent="0.35">
      <c r="A66" s="286">
        <v>202</v>
      </c>
      <c r="B66" s="286" t="s">
        <v>118</v>
      </c>
      <c r="C66" s="326">
        <v>2</v>
      </c>
      <c r="D66" s="328">
        <v>33458</v>
      </c>
      <c r="E66" s="328">
        <v>1470</v>
      </c>
      <c r="F66" s="328">
        <v>0</v>
      </c>
      <c r="G66" s="328">
        <v>1633</v>
      </c>
      <c r="H66" s="328">
        <v>150.63999999999999</v>
      </c>
      <c r="I66" s="328">
        <v>222.1</v>
      </c>
    </row>
    <row r="67" spans="1:9" x14ac:dyDescent="0.35">
      <c r="A67" s="286">
        <v>204</v>
      </c>
      <c r="B67" s="286" t="s">
        <v>119</v>
      </c>
      <c r="C67" s="326">
        <v>11</v>
      </c>
      <c r="D67" s="328">
        <v>2990</v>
      </c>
      <c r="E67" s="328">
        <v>2</v>
      </c>
      <c r="F67" s="328">
        <v>0</v>
      </c>
      <c r="G67" s="328">
        <v>62</v>
      </c>
      <c r="H67" s="328">
        <v>674.03</v>
      </c>
      <c r="I67" s="328">
        <v>4.4000000000000004</v>
      </c>
    </row>
    <row r="68" spans="1:9" x14ac:dyDescent="0.35">
      <c r="A68" s="286">
        <v>205</v>
      </c>
      <c r="B68" s="286" t="s">
        <v>120</v>
      </c>
      <c r="C68" s="326">
        <v>18</v>
      </c>
      <c r="D68" s="328">
        <v>36973</v>
      </c>
      <c r="E68" s="328">
        <v>37</v>
      </c>
      <c r="F68" s="328">
        <v>2</v>
      </c>
      <c r="G68" s="328">
        <v>1257</v>
      </c>
      <c r="H68" s="328">
        <v>1834.78</v>
      </c>
      <c r="I68" s="328">
        <v>20.2</v>
      </c>
    </row>
    <row r="69" spans="1:9" x14ac:dyDescent="0.35">
      <c r="A69" s="286">
        <v>208</v>
      </c>
      <c r="B69" s="286" t="s">
        <v>121</v>
      </c>
      <c r="C69" s="326">
        <v>17</v>
      </c>
      <c r="D69" s="328">
        <v>12387</v>
      </c>
      <c r="E69" s="328">
        <v>56</v>
      </c>
      <c r="F69" s="328">
        <v>1</v>
      </c>
      <c r="G69" s="328">
        <v>284</v>
      </c>
      <c r="H69" s="328">
        <v>922.97</v>
      </c>
      <c r="I69" s="328">
        <v>13.4</v>
      </c>
    </row>
    <row r="70" spans="1:9" x14ac:dyDescent="0.35">
      <c r="A70" s="286">
        <v>211</v>
      </c>
      <c r="B70" s="286" t="s">
        <v>122</v>
      </c>
      <c r="C70" s="326">
        <v>6</v>
      </c>
      <c r="D70" s="328">
        <v>31676</v>
      </c>
      <c r="E70" s="328">
        <v>77</v>
      </c>
      <c r="F70" s="328">
        <v>0</v>
      </c>
      <c r="G70" s="328">
        <v>729</v>
      </c>
      <c r="H70" s="328">
        <v>658.07</v>
      </c>
      <c r="I70" s="328">
        <v>48.1</v>
      </c>
    </row>
    <row r="71" spans="1:9" x14ac:dyDescent="0.35">
      <c r="A71" s="286">
        <v>213</v>
      </c>
      <c r="B71" s="286" t="s">
        <v>123</v>
      </c>
      <c r="C71" s="326">
        <v>10</v>
      </c>
      <c r="D71" s="328">
        <v>5452</v>
      </c>
      <c r="E71" s="328">
        <v>7</v>
      </c>
      <c r="F71" s="328">
        <v>0</v>
      </c>
      <c r="G71" s="328">
        <v>74</v>
      </c>
      <c r="H71" s="328">
        <v>1068.8399999999999</v>
      </c>
      <c r="I71" s="328">
        <v>5.0999999999999996</v>
      </c>
    </row>
    <row r="72" spans="1:9" x14ac:dyDescent="0.35">
      <c r="A72" s="286">
        <v>214</v>
      </c>
      <c r="B72" s="286" t="s">
        <v>124</v>
      </c>
      <c r="C72" s="326">
        <v>4</v>
      </c>
      <c r="D72" s="328">
        <v>11471</v>
      </c>
      <c r="E72" s="328">
        <v>8</v>
      </c>
      <c r="F72" s="328">
        <v>0</v>
      </c>
      <c r="G72" s="328">
        <v>364</v>
      </c>
      <c r="H72" s="328">
        <v>689.62</v>
      </c>
      <c r="I72" s="328">
        <v>16.600000000000001</v>
      </c>
    </row>
    <row r="73" spans="1:9" x14ac:dyDescent="0.35">
      <c r="A73" s="286">
        <v>216</v>
      </c>
      <c r="B73" s="286" t="s">
        <v>125</v>
      </c>
      <c r="C73" s="326">
        <v>13</v>
      </c>
      <c r="D73" s="328">
        <v>1353</v>
      </c>
      <c r="E73" s="328">
        <v>1</v>
      </c>
      <c r="F73" s="328">
        <v>0</v>
      </c>
      <c r="G73" s="328">
        <v>24</v>
      </c>
      <c r="H73" s="328">
        <v>445.01</v>
      </c>
      <c r="I73" s="328">
        <v>3</v>
      </c>
    </row>
    <row r="74" spans="1:9" x14ac:dyDescent="0.35">
      <c r="A74" s="286">
        <v>217</v>
      </c>
      <c r="B74" s="286" t="s">
        <v>126</v>
      </c>
      <c r="C74" s="326">
        <v>16</v>
      </c>
      <c r="D74" s="328">
        <v>5502</v>
      </c>
      <c r="E74" s="328">
        <v>23</v>
      </c>
      <c r="F74" s="328">
        <v>0</v>
      </c>
      <c r="G74" s="328">
        <v>88</v>
      </c>
      <c r="H74" s="328">
        <v>468.33</v>
      </c>
      <c r="I74" s="328">
        <v>11.7</v>
      </c>
    </row>
    <row r="75" spans="1:9" x14ac:dyDescent="0.35">
      <c r="A75" s="286">
        <v>218</v>
      </c>
      <c r="B75" s="286" t="s">
        <v>127</v>
      </c>
      <c r="C75" s="326">
        <v>14</v>
      </c>
      <c r="D75" s="328">
        <v>1274</v>
      </c>
      <c r="E75" s="328">
        <v>22</v>
      </c>
      <c r="F75" s="328">
        <v>0</v>
      </c>
      <c r="G75" s="328">
        <v>7</v>
      </c>
      <c r="H75" s="328">
        <v>185.72</v>
      </c>
      <c r="I75" s="328">
        <v>6.9</v>
      </c>
    </row>
    <row r="76" spans="1:9" x14ac:dyDescent="0.35">
      <c r="A76" s="286">
        <v>224</v>
      </c>
      <c r="B76" s="286" t="s">
        <v>128</v>
      </c>
      <c r="C76" s="326">
        <v>33</v>
      </c>
      <c r="D76" s="328">
        <v>8778</v>
      </c>
      <c r="E76" s="328">
        <v>72</v>
      </c>
      <c r="F76" s="328">
        <v>0</v>
      </c>
      <c r="G76" s="328">
        <v>526</v>
      </c>
      <c r="H76" s="328">
        <v>242.36</v>
      </c>
      <c r="I76" s="328">
        <v>36.200000000000003</v>
      </c>
    </row>
    <row r="77" spans="1:9" x14ac:dyDescent="0.35">
      <c r="A77" s="286">
        <v>226</v>
      </c>
      <c r="B77" s="286" t="s">
        <v>129</v>
      </c>
      <c r="C77" s="326">
        <v>13</v>
      </c>
      <c r="D77" s="328">
        <v>4031</v>
      </c>
      <c r="E77" s="328">
        <v>1</v>
      </c>
      <c r="F77" s="328">
        <v>0</v>
      </c>
      <c r="G77" s="328">
        <v>43</v>
      </c>
      <c r="H77" s="328">
        <v>887.07</v>
      </c>
      <c r="I77" s="328">
        <v>4.5</v>
      </c>
    </row>
    <row r="78" spans="1:9" x14ac:dyDescent="0.35">
      <c r="A78" s="286">
        <v>230</v>
      </c>
      <c r="B78" s="286" t="s">
        <v>130</v>
      </c>
      <c r="C78" s="326">
        <v>4</v>
      </c>
      <c r="D78" s="328">
        <v>2390</v>
      </c>
      <c r="E78" s="328">
        <v>2</v>
      </c>
      <c r="F78" s="328">
        <v>0</v>
      </c>
      <c r="G78" s="328">
        <v>65</v>
      </c>
      <c r="H78" s="328">
        <v>502.18</v>
      </c>
      <c r="I78" s="328">
        <v>4.8</v>
      </c>
    </row>
    <row r="79" spans="1:9" x14ac:dyDescent="0.35">
      <c r="A79" s="286">
        <v>231</v>
      </c>
      <c r="B79" s="286" t="s">
        <v>131</v>
      </c>
      <c r="C79" s="326">
        <v>15</v>
      </c>
      <c r="D79" s="328">
        <v>1262</v>
      </c>
      <c r="E79" s="328">
        <v>368</v>
      </c>
      <c r="F79" s="328">
        <v>0</v>
      </c>
      <c r="G79" s="328">
        <v>93</v>
      </c>
      <c r="H79" s="328">
        <v>10.63</v>
      </c>
      <c r="I79" s="328">
        <v>118.7</v>
      </c>
    </row>
    <row r="80" spans="1:9" x14ac:dyDescent="0.35">
      <c r="A80" s="286">
        <v>232</v>
      </c>
      <c r="B80" s="286" t="s">
        <v>132</v>
      </c>
      <c r="C80" s="326">
        <v>14</v>
      </c>
      <c r="D80" s="328">
        <v>13375</v>
      </c>
      <c r="E80" s="328">
        <v>37</v>
      </c>
      <c r="F80" s="328">
        <v>0</v>
      </c>
      <c r="G80" s="328">
        <v>306</v>
      </c>
      <c r="H80" s="328">
        <v>1298.98</v>
      </c>
      <c r="I80" s="328">
        <v>10.3</v>
      </c>
    </row>
    <row r="81" spans="1:9" x14ac:dyDescent="0.35">
      <c r="A81" s="286">
        <v>233</v>
      </c>
      <c r="B81" s="286" t="s">
        <v>133</v>
      </c>
      <c r="C81" s="326">
        <v>14</v>
      </c>
      <c r="D81" s="328">
        <v>16022</v>
      </c>
      <c r="E81" s="328">
        <v>105</v>
      </c>
      <c r="F81" s="328">
        <v>0</v>
      </c>
      <c r="G81" s="328">
        <v>439</v>
      </c>
      <c r="H81" s="328">
        <v>1313.78</v>
      </c>
      <c r="I81" s="328">
        <v>12.2</v>
      </c>
    </row>
    <row r="82" spans="1:9" x14ac:dyDescent="0.35">
      <c r="A82" s="286">
        <v>235</v>
      </c>
      <c r="B82" s="286" t="s">
        <v>134</v>
      </c>
      <c r="C82" s="326">
        <v>33</v>
      </c>
      <c r="D82" s="328">
        <v>9615</v>
      </c>
      <c r="E82" s="328">
        <v>3202</v>
      </c>
      <c r="F82" s="328">
        <v>3</v>
      </c>
      <c r="G82" s="328">
        <v>735</v>
      </c>
      <c r="H82" s="328">
        <v>5.89</v>
      </c>
      <c r="I82" s="328">
        <v>1632.4</v>
      </c>
    </row>
    <row r="83" spans="1:9" x14ac:dyDescent="0.35">
      <c r="A83" s="286">
        <v>236</v>
      </c>
      <c r="B83" s="286" t="s">
        <v>135</v>
      </c>
      <c r="C83" s="326">
        <v>16</v>
      </c>
      <c r="D83" s="328">
        <v>4273</v>
      </c>
      <c r="E83" s="328">
        <v>87</v>
      </c>
      <c r="F83" s="328">
        <v>1</v>
      </c>
      <c r="G83" s="328">
        <v>87</v>
      </c>
      <c r="H83" s="328">
        <v>353.97</v>
      </c>
      <c r="I83" s="328">
        <v>12.1</v>
      </c>
    </row>
    <row r="84" spans="1:9" x14ac:dyDescent="0.35">
      <c r="A84" s="286">
        <v>239</v>
      </c>
      <c r="B84" s="286" t="s">
        <v>136</v>
      </c>
      <c r="C84" s="326">
        <v>11</v>
      </c>
      <c r="D84" s="328">
        <v>2244</v>
      </c>
      <c r="E84" s="328">
        <v>3</v>
      </c>
      <c r="F84" s="328">
        <v>0</v>
      </c>
      <c r="G84" s="328">
        <v>38</v>
      </c>
      <c r="H84" s="328">
        <v>482.91</v>
      </c>
      <c r="I84" s="328">
        <v>4.5999999999999996</v>
      </c>
    </row>
    <row r="85" spans="1:9" x14ac:dyDescent="0.35">
      <c r="A85" s="286">
        <v>240</v>
      </c>
      <c r="B85" s="286" t="s">
        <v>137</v>
      </c>
      <c r="C85" s="326">
        <v>19</v>
      </c>
      <c r="D85" s="328">
        <v>21021</v>
      </c>
      <c r="E85" s="328">
        <v>28</v>
      </c>
      <c r="F85" s="328">
        <v>4</v>
      </c>
      <c r="G85" s="328">
        <v>1007</v>
      </c>
      <c r="H85" s="328">
        <v>95.37</v>
      </c>
      <c r="I85" s="328">
        <v>220.4</v>
      </c>
    </row>
    <row r="86" spans="1:9" x14ac:dyDescent="0.35">
      <c r="A86" s="286">
        <v>241</v>
      </c>
      <c r="B86" s="286" t="s">
        <v>138</v>
      </c>
      <c r="C86" s="326">
        <v>19</v>
      </c>
      <c r="D86" s="328">
        <v>8147</v>
      </c>
      <c r="E86" s="328">
        <v>10</v>
      </c>
      <c r="F86" s="328">
        <v>1</v>
      </c>
      <c r="G86" s="328">
        <v>78</v>
      </c>
      <c r="H86" s="328">
        <v>626.35</v>
      </c>
      <c r="I86" s="328">
        <v>13</v>
      </c>
    </row>
    <row r="87" spans="1:9" x14ac:dyDescent="0.35">
      <c r="A87" s="286">
        <v>244</v>
      </c>
      <c r="B87" s="286" t="s">
        <v>139</v>
      </c>
      <c r="C87" s="326">
        <v>17</v>
      </c>
      <c r="D87" s="328">
        <v>17923</v>
      </c>
      <c r="E87" s="328">
        <v>28</v>
      </c>
      <c r="F87" s="328">
        <v>8</v>
      </c>
      <c r="G87" s="328">
        <v>223</v>
      </c>
      <c r="H87" s="328">
        <v>110.11</v>
      </c>
      <c r="I87" s="328">
        <v>162.80000000000001</v>
      </c>
    </row>
    <row r="88" spans="1:9" x14ac:dyDescent="0.35">
      <c r="A88" s="286">
        <v>245</v>
      </c>
      <c r="B88" s="286" t="s">
        <v>140</v>
      </c>
      <c r="C88" s="326">
        <v>32</v>
      </c>
      <c r="D88" s="328">
        <v>36254</v>
      </c>
      <c r="E88" s="328">
        <v>465</v>
      </c>
      <c r="F88" s="328">
        <v>0</v>
      </c>
      <c r="G88" s="328">
        <v>3892</v>
      </c>
      <c r="H88" s="328">
        <v>30.63</v>
      </c>
      <c r="I88" s="328">
        <v>1183.5999999999999</v>
      </c>
    </row>
    <row r="89" spans="1:9" x14ac:dyDescent="0.35">
      <c r="A89" s="286">
        <v>249</v>
      </c>
      <c r="B89" s="286" t="s">
        <v>141</v>
      </c>
      <c r="C89" s="326">
        <v>13</v>
      </c>
      <c r="D89" s="328">
        <v>9762</v>
      </c>
      <c r="E89" s="328">
        <v>14</v>
      </c>
      <c r="F89" s="328">
        <v>0</v>
      </c>
      <c r="G89" s="328">
        <v>195</v>
      </c>
      <c r="H89" s="328">
        <v>1257.97</v>
      </c>
      <c r="I89" s="328">
        <v>7.8</v>
      </c>
    </row>
    <row r="90" spans="1:9" x14ac:dyDescent="0.35">
      <c r="A90" s="286">
        <v>250</v>
      </c>
      <c r="B90" s="286" t="s">
        <v>142</v>
      </c>
      <c r="C90" s="326">
        <v>6</v>
      </c>
      <c r="D90" s="328">
        <v>1910</v>
      </c>
      <c r="E90" s="328">
        <v>0</v>
      </c>
      <c r="F90" s="328">
        <v>0</v>
      </c>
      <c r="G90" s="328">
        <v>24</v>
      </c>
      <c r="H90" s="328">
        <v>357.11</v>
      </c>
      <c r="I90" s="328">
        <v>5.3</v>
      </c>
    </row>
    <row r="91" spans="1:9" x14ac:dyDescent="0.35">
      <c r="A91" s="286">
        <v>256</v>
      </c>
      <c r="B91" s="286" t="s">
        <v>143</v>
      </c>
      <c r="C91" s="326">
        <v>13</v>
      </c>
      <c r="D91" s="328">
        <v>1615</v>
      </c>
      <c r="E91" s="328">
        <v>1</v>
      </c>
      <c r="F91" s="328">
        <v>0</v>
      </c>
      <c r="G91" s="328">
        <v>11</v>
      </c>
      <c r="H91" s="328">
        <v>460.2</v>
      </c>
      <c r="I91" s="328">
        <v>3.5</v>
      </c>
    </row>
    <row r="92" spans="1:9" x14ac:dyDescent="0.35">
      <c r="A92" s="286">
        <v>257</v>
      </c>
      <c r="B92" s="286" t="s">
        <v>144</v>
      </c>
      <c r="C92" s="326">
        <v>33</v>
      </c>
      <c r="D92" s="328">
        <v>39262</v>
      </c>
      <c r="E92" s="328">
        <v>6498</v>
      </c>
      <c r="F92" s="328">
        <v>7</v>
      </c>
      <c r="G92" s="328">
        <v>3158</v>
      </c>
      <c r="H92" s="328">
        <v>366.23</v>
      </c>
      <c r="I92" s="328">
        <v>107.2</v>
      </c>
    </row>
    <row r="93" spans="1:9" x14ac:dyDescent="0.35">
      <c r="A93" s="286">
        <v>260</v>
      </c>
      <c r="B93" s="286" t="s">
        <v>145</v>
      </c>
      <c r="C93" s="326">
        <v>12</v>
      </c>
      <c r="D93" s="328">
        <v>10358</v>
      </c>
      <c r="E93" s="328">
        <v>3</v>
      </c>
      <c r="F93" s="328">
        <v>2</v>
      </c>
      <c r="G93" s="328">
        <v>488</v>
      </c>
      <c r="H93" s="328">
        <v>1253.57</v>
      </c>
      <c r="I93" s="328">
        <v>8.3000000000000007</v>
      </c>
    </row>
    <row r="94" spans="1:9" x14ac:dyDescent="0.35">
      <c r="A94" s="286">
        <v>261</v>
      </c>
      <c r="B94" s="286" t="s">
        <v>146</v>
      </c>
      <c r="C94" s="326">
        <v>19</v>
      </c>
      <c r="D94" s="328">
        <v>6436</v>
      </c>
      <c r="E94" s="328">
        <v>18</v>
      </c>
      <c r="F94" s="328">
        <v>17</v>
      </c>
      <c r="G94" s="328">
        <v>215</v>
      </c>
      <c r="H94" s="328">
        <v>8094.39</v>
      </c>
      <c r="I94" s="328">
        <v>0.8</v>
      </c>
    </row>
    <row r="95" spans="1:9" x14ac:dyDescent="0.35">
      <c r="A95" s="286">
        <v>263</v>
      </c>
      <c r="B95" s="286" t="s">
        <v>147</v>
      </c>
      <c r="C95" s="326">
        <v>11</v>
      </c>
      <c r="D95" s="328">
        <v>8153</v>
      </c>
      <c r="E95" s="328">
        <v>2</v>
      </c>
      <c r="F95" s="328">
        <v>0</v>
      </c>
      <c r="G95" s="328">
        <v>99</v>
      </c>
      <c r="H95" s="328">
        <v>1328.14</v>
      </c>
      <c r="I95" s="328">
        <v>6.1</v>
      </c>
    </row>
    <row r="96" spans="1:9" x14ac:dyDescent="0.35">
      <c r="A96" s="286">
        <v>265</v>
      </c>
      <c r="B96" s="286" t="s">
        <v>148</v>
      </c>
      <c r="C96" s="326">
        <v>13</v>
      </c>
      <c r="D96" s="328">
        <v>1103</v>
      </c>
      <c r="E96" s="328">
        <v>0</v>
      </c>
      <c r="F96" s="328">
        <v>0</v>
      </c>
      <c r="G96" s="328">
        <v>12</v>
      </c>
      <c r="H96" s="328">
        <v>483.96</v>
      </c>
      <c r="I96" s="328">
        <v>2.2999999999999998</v>
      </c>
    </row>
    <row r="97" spans="1:9" x14ac:dyDescent="0.35">
      <c r="A97" s="286">
        <v>271</v>
      </c>
      <c r="B97" s="286" t="s">
        <v>149</v>
      </c>
      <c r="C97" s="326">
        <v>4</v>
      </c>
      <c r="D97" s="328">
        <v>7226</v>
      </c>
      <c r="E97" s="328">
        <v>12</v>
      </c>
      <c r="F97" s="328">
        <v>0</v>
      </c>
      <c r="G97" s="328">
        <v>197</v>
      </c>
      <c r="H97" s="328">
        <v>480.47</v>
      </c>
      <c r="I97" s="328">
        <v>15</v>
      </c>
    </row>
    <row r="98" spans="1:9" x14ac:dyDescent="0.35">
      <c r="A98" s="286">
        <v>272</v>
      </c>
      <c r="B98" s="286" t="s">
        <v>150</v>
      </c>
      <c r="C98" s="326">
        <v>16</v>
      </c>
      <c r="D98" s="328">
        <v>47657</v>
      </c>
      <c r="E98" s="328">
        <v>6001</v>
      </c>
      <c r="F98" s="328">
        <v>1</v>
      </c>
      <c r="G98" s="328">
        <v>1624</v>
      </c>
      <c r="H98" s="328">
        <v>1445.11</v>
      </c>
      <c r="I98" s="328">
        <v>33</v>
      </c>
    </row>
    <row r="99" spans="1:9" x14ac:dyDescent="0.35">
      <c r="A99" s="286">
        <v>273</v>
      </c>
      <c r="B99" s="286" t="s">
        <v>151</v>
      </c>
      <c r="C99" s="326">
        <v>19</v>
      </c>
      <c r="D99" s="328">
        <v>3834</v>
      </c>
      <c r="E99" s="328">
        <v>30</v>
      </c>
      <c r="F99" s="328">
        <v>3</v>
      </c>
      <c r="G99" s="328">
        <v>56</v>
      </c>
      <c r="H99" s="328">
        <v>2559.1999999999998</v>
      </c>
      <c r="I99" s="328">
        <v>1.5</v>
      </c>
    </row>
    <row r="100" spans="1:9" x14ac:dyDescent="0.35">
      <c r="A100" s="286">
        <v>275</v>
      </c>
      <c r="B100" s="286" t="s">
        <v>152</v>
      </c>
      <c r="C100" s="326">
        <v>13</v>
      </c>
      <c r="D100" s="328">
        <v>2698</v>
      </c>
      <c r="E100" s="328">
        <v>1</v>
      </c>
      <c r="F100" s="328">
        <v>0</v>
      </c>
      <c r="G100" s="328">
        <v>26</v>
      </c>
      <c r="H100" s="328">
        <v>512.92999999999995</v>
      </c>
      <c r="I100" s="328">
        <v>5.3</v>
      </c>
    </row>
    <row r="101" spans="1:9" x14ac:dyDescent="0.35">
      <c r="A101" s="286">
        <v>276</v>
      </c>
      <c r="B101" s="286" t="s">
        <v>153</v>
      </c>
      <c r="C101" s="326">
        <v>12</v>
      </c>
      <c r="D101" s="328">
        <v>14849</v>
      </c>
      <c r="E101" s="328">
        <v>14</v>
      </c>
      <c r="F101" s="328">
        <v>0</v>
      </c>
      <c r="G101" s="328">
        <v>350</v>
      </c>
      <c r="H101" s="328">
        <v>799.2</v>
      </c>
      <c r="I101" s="328">
        <v>18.600000000000001</v>
      </c>
    </row>
    <row r="102" spans="1:9" x14ac:dyDescent="0.35">
      <c r="A102" s="286">
        <v>280</v>
      </c>
      <c r="B102" s="286" t="s">
        <v>154</v>
      </c>
      <c r="C102" s="326">
        <v>15</v>
      </c>
      <c r="D102" s="328">
        <v>2122</v>
      </c>
      <c r="E102" s="328">
        <v>1820</v>
      </c>
      <c r="F102" s="328">
        <v>0</v>
      </c>
      <c r="G102" s="328">
        <v>232</v>
      </c>
      <c r="H102" s="328">
        <v>236.01</v>
      </c>
      <c r="I102" s="328">
        <v>9</v>
      </c>
    </row>
    <row r="103" spans="1:9" x14ac:dyDescent="0.35">
      <c r="A103" s="286">
        <v>284</v>
      </c>
      <c r="B103" s="286" t="s">
        <v>493</v>
      </c>
      <c r="C103" s="326">
        <v>2</v>
      </c>
      <c r="D103" s="328">
        <v>2340</v>
      </c>
      <c r="E103" s="328">
        <v>9</v>
      </c>
      <c r="F103" s="328">
        <v>0</v>
      </c>
      <c r="G103" s="328">
        <v>97</v>
      </c>
      <c r="H103" s="328">
        <v>191.49</v>
      </c>
      <c r="I103" s="328">
        <v>12.2</v>
      </c>
    </row>
    <row r="104" spans="1:9" x14ac:dyDescent="0.35">
      <c r="A104" s="286">
        <v>285</v>
      </c>
      <c r="B104" s="286" t="s">
        <v>156</v>
      </c>
      <c r="C104" s="326">
        <v>8</v>
      </c>
      <c r="D104" s="328">
        <v>52883</v>
      </c>
      <c r="E104" s="328">
        <v>504</v>
      </c>
      <c r="F104" s="328">
        <v>3</v>
      </c>
      <c r="G104" s="328">
        <v>4937</v>
      </c>
      <c r="H104" s="328">
        <v>272.02999999999997</v>
      </c>
      <c r="I104" s="328">
        <v>194.4</v>
      </c>
    </row>
    <row r="105" spans="1:9" x14ac:dyDescent="0.35">
      <c r="A105" s="286">
        <v>286</v>
      </c>
      <c r="B105" s="286" t="s">
        <v>157</v>
      </c>
      <c r="C105" s="326">
        <v>8</v>
      </c>
      <c r="D105" s="328">
        <v>83177</v>
      </c>
      <c r="E105" s="328">
        <v>295</v>
      </c>
      <c r="F105" s="328">
        <v>1</v>
      </c>
      <c r="G105" s="328">
        <v>3487</v>
      </c>
      <c r="H105" s="328">
        <v>2558.2399999999998</v>
      </c>
      <c r="I105" s="328">
        <v>32.5</v>
      </c>
    </row>
    <row r="106" spans="1:9" x14ac:dyDescent="0.35">
      <c r="A106" s="286">
        <v>287</v>
      </c>
      <c r="B106" s="286" t="s">
        <v>158</v>
      </c>
      <c r="C106" s="326">
        <v>15</v>
      </c>
      <c r="D106" s="328">
        <v>6596</v>
      </c>
      <c r="E106" s="328">
        <v>3591</v>
      </c>
      <c r="F106" s="328">
        <v>0</v>
      </c>
      <c r="G106" s="328">
        <v>278</v>
      </c>
      <c r="H106" s="328">
        <v>683.04</v>
      </c>
      <c r="I106" s="328">
        <v>9.6999999999999993</v>
      </c>
    </row>
    <row r="107" spans="1:9" x14ac:dyDescent="0.35">
      <c r="A107" s="286">
        <v>288</v>
      </c>
      <c r="B107" s="286" t="s">
        <v>159</v>
      </c>
      <c r="C107" s="326">
        <v>15</v>
      </c>
      <c r="D107" s="328">
        <v>6509</v>
      </c>
      <c r="E107" s="328">
        <v>5060</v>
      </c>
      <c r="F107" s="328">
        <v>0</v>
      </c>
      <c r="G107" s="328">
        <v>213</v>
      </c>
      <c r="H107" s="328">
        <v>712.86</v>
      </c>
      <c r="I107" s="328">
        <v>9.1</v>
      </c>
    </row>
    <row r="108" spans="1:9" x14ac:dyDescent="0.35">
      <c r="A108" s="286">
        <v>290</v>
      </c>
      <c r="B108" s="286" t="s">
        <v>160</v>
      </c>
      <c r="C108" s="326">
        <v>18</v>
      </c>
      <c r="D108" s="328">
        <v>8329</v>
      </c>
      <c r="E108" s="328">
        <v>6</v>
      </c>
      <c r="F108" s="328">
        <v>0</v>
      </c>
      <c r="G108" s="328">
        <v>174</v>
      </c>
      <c r="H108" s="328">
        <v>4806.5200000000004</v>
      </c>
      <c r="I108" s="328">
        <v>1.7</v>
      </c>
    </row>
    <row r="109" spans="1:9" x14ac:dyDescent="0.35">
      <c r="A109" s="286">
        <v>291</v>
      </c>
      <c r="B109" s="286" t="s">
        <v>161</v>
      </c>
      <c r="C109" s="326">
        <v>6</v>
      </c>
      <c r="D109" s="328">
        <v>2238</v>
      </c>
      <c r="E109" s="328">
        <v>5</v>
      </c>
      <c r="F109" s="328">
        <v>0</v>
      </c>
      <c r="G109" s="328">
        <v>22</v>
      </c>
      <c r="H109" s="328">
        <v>660.95</v>
      </c>
      <c r="I109" s="328">
        <v>3.4</v>
      </c>
    </row>
    <row r="110" spans="1:9" x14ac:dyDescent="0.35">
      <c r="A110" s="286">
        <v>297</v>
      </c>
      <c r="B110" s="286" t="s">
        <v>162</v>
      </c>
      <c r="C110" s="326">
        <v>11</v>
      </c>
      <c r="D110" s="328">
        <v>118664</v>
      </c>
      <c r="E110" s="328">
        <v>123</v>
      </c>
      <c r="F110" s="328">
        <v>2</v>
      </c>
      <c r="G110" s="328">
        <v>4685</v>
      </c>
      <c r="H110" s="328">
        <v>3241.03</v>
      </c>
      <c r="I110" s="328">
        <v>36.6</v>
      </c>
    </row>
    <row r="111" spans="1:9" x14ac:dyDescent="0.35">
      <c r="A111" s="286">
        <v>300</v>
      </c>
      <c r="B111" s="286" t="s">
        <v>163</v>
      </c>
      <c r="C111" s="326">
        <v>14</v>
      </c>
      <c r="D111" s="328">
        <v>3572</v>
      </c>
      <c r="E111" s="328">
        <v>4</v>
      </c>
      <c r="F111" s="328">
        <v>0</v>
      </c>
      <c r="G111" s="328">
        <v>54</v>
      </c>
      <c r="H111" s="328">
        <v>462.18</v>
      </c>
      <c r="I111" s="328">
        <v>7.7</v>
      </c>
    </row>
    <row r="112" spans="1:9" x14ac:dyDescent="0.35">
      <c r="A112" s="286">
        <v>301</v>
      </c>
      <c r="B112" s="286" t="s">
        <v>164</v>
      </c>
      <c r="C112" s="326">
        <v>14</v>
      </c>
      <c r="D112" s="328">
        <v>20952</v>
      </c>
      <c r="E112" s="328">
        <v>73</v>
      </c>
      <c r="F112" s="328">
        <v>0</v>
      </c>
      <c r="G112" s="328">
        <v>338</v>
      </c>
      <c r="H112" s="328">
        <v>1724.62</v>
      </c>
      <c r="I112" s="328">
        <v>12.1</v>
      </c>
    </row>
    <row r="113" spans="1:9" x14ac:dyDescent="0.35">
      <c r="A113" s="286">
        <v>304</v>
      </c>
      <c r="B113" s="286" t="s">
        <v>165</v>
      </c>
      <c r="C113" s="326">
        <v>2</v>
      </c>
      <c r="D113" s="328">
        <v>926</v>
      </c>
      <c r="E113" s="328">
        <v>12</v>
      </c>
      <c r="F113" s="328">
        <v>0</v>
      </c>
      <c r="G113" s="328">
        <v>27</v>
      </c>
      <c r="H113" s="328">
        <v>165.81</v>
      </c>
      <c r="I113" s="328">
        <v>5.6</v>
      </c>
    </row>
    <row r="114" spans="1:9" x14ac:dyDescent="0.35">
      <c r="A114" s="286">
        <v>305</v>
      </c>
      <c r="B114" s="286" t="s">
        <v>166</v>
      </c>
      <c r="C114" s="326">
        <v>17</v>
      </c>
      <c r="D114" s="328">
        <v>15207</v>
      </c>
      <c r="E114" s="328">
        <v>35</v>
      </c>
      <c r="F114" s="328">
        <v>5</v>
      </c>
      <c r="G114" s="328">
        <v>285</v>
      </c>
      <c r="H114" s="328">
        <v>4978.3</v>
      </c>
      <c r="I114" s="328">
        <v>3.1</v>
      </c>
    </row>
    <row r="115" spans="1:9" x14ac:dyDescent="0.35">
      <c r="A115" s="286">
        <v>309</v>
      </c>
      <c r="B115" s="286" t="s">
        <v>167</v>
      </c>
      <c r="C115" s="326">
        <v>12</v>
      </c>
      <c r="D115" s="328">
        <v>6803</v>
      </c>
      <c r="E115" s="328">
        <v>10</v>
      </c>
      <c r="F115" s="328">
        <v>0</v>
      </c>
      <c r="G115" s="328">
        <v>239</v>
      </c>
      <c r="H115" s="328">
        <v>445.82</v>
      </c>
      <c r="I115" s="328">
        <v>15.3</v>
      </c>
    </row>
    <row r="116" spans="1:9" x14ac:dyDescent="0.35">
      <c r="A116" s="286">
        <v>312</v>
      </c>
      <c r="B116" s="286" t="s">
        <v>168</v>
      </c>
      <c r="C116" s="326">
        <v>13</v>
      </c>
      <c r="D116" s="328">
        <v>1343</v>
      </c>
      <c r="E116" s="328">
        <v>1</v>
      </c>
      <c r="F116" s="328">
        <v>0</v>
      </c>
      <c r="G116" s="328">
        <v>21</v>
      </c>
      <c r="H116" s="328">
        <v>448.2</v>
      </c>
      <c r="I116" s="328">
        <v>3</v>
      </c>
    </row>
    <row r="117" spans="1:9" x14ac:dyDescent="0.35">
      <c r="A117" s="286">
        <v>316</v>
      </c>
      <c r="B117" s="286" t="s">
        <v>169</v>
      </c>
      <c r="C117" s="326">
        <v>7</v>
      </c>
      <c r="D117" s="328">
        <v>4451</v>
      </c>
      <c r="E117" s="328">
        <v>20</v>
      </c>
      <c r="F117" s="328">
        <v>1</v>
      </c>
      <c r="G117" s="328">
        <v>151</v>
      </c>
      <c r="H117" s="328">
        <v>256.49</v>
      </c>
      <c r="I117" s="328">
        <v>17.399999999999999</v>
      </c>
    </row>
    <row r="118" spans="1:9" x14ac:dyDescent="0.35">
      <c r="A118" s="286">
        <v>317</v>
      </c>
      <c r="B118" s="286" t="s">
        <v>170</v>
      </c>
      <c r="C118" s="326">
        <v>17</v>
      </c>
      <c r="D118" s="328">
        <v>2613</v>
      </c>
      <c r="E118" s="328">
        <v>2</v>
      </c>
      <c r="F118" s="328">
        <v>0</v>
      </c>
      <c r="G118" s="328">
        <v>24</v>
      </c>
      <c r="H118" s="328">
        <v>695.97</v>
      </c>
      <c r="I118" s="328">
        <v>3.8</v>
      </c>
    </row>
    <row r="119" spans="1:9" x14ac:dyDescent="0.35">
      <c r="A119" s="286">
        <v>320</v>
      </c>
      <c r="B119" s="286" t="s">
        <v>171</v>
      </c>
      <c r="C119" s="326">
        <v>19</v>
      </c>
      <c r="D119" s="328">
        <v>7370</v>
      </c>
      <c r="E119" s="328">
        <v>1</v>
      </c>
      <c r="F119" s="328">
        <v>1</v>
      </c>
      <c r="G119" s="328">
        <v>96</v>
      </c>
      <c r="H119" s="328">
        <v>3504.13</v>
      </c>
      <c r="I119" s="328">
        <v>2.1</v>
      </c>
    </row>
    <row r="120" spans="1:9" x14ac:dyDescent="0.35">
      <c r="A120" s="286">
        <v>322</v>
      </c>
      <c r="B120" s="286" t="s">
        <v>172</v>
      </c>
      <c r="C120" s="326">
        <v>2</v>
      </c>
      <c r="D120" s="328">
        <v>6724</v>
      </c>
      <c r="E120" s="328">
        <v>4604</v>
      </c>
      <c r="F120" s="328">
        <v>0</v>
      </c>
      <c r="G120" s="328">
        <v>222</v>
      </c>
      <c r="H120" s="328">
        <v>686.84</v>
      </c>
      <c r="I120" s="328">
        <v>9.8000000000000007</v>
      </c>
    </row>
    <row r="121" spans="1:9" x14ac:dyDescent="0.35">
      <c r="A121" s="286">
        <v>398</v>
      </c>
      <c r="B121" s="286" t="s">
        <v>173</v>
      </c>
      <c r="C121" s="326">
        <v>7</v>
      </c>
      <c r="D121" s="328">
        <v>119951</v>
      </c>
      <c r="E121" s="328">
        <v>453</v>
      </c>
      <c r="F121" s="328">
        <v>14</v>
      </c>
      <c r="G121" s="328">
        <v>8313</v>
      </c>
      <c r="H121" s="328">
        <v>459.48</v>
      </c>
      <c r="I121" s="328">
        <v>261.10000000000002</v>
      </c>
    </row>
    <row r="122" spans="1:9" x14ac:dyDescent="0.35">
      <c r="A122" s="286">
        <v>399</v>
      </c>
      <c r="B122" s="286" t="s">
        <v>174</v>
      </c>
      <c r="C122" s="326">
        <v>15</v>
      </c>
      <c r="D122" s="328">
        <v>8058</v>
      </c>
      <c r="E122" s="328">
        <v>93</v>
      </c>
      <c r="F122" s="328">
        <v>0</v>
      </c>
      <c r="G122" s="328">
        <v>109</v>
      </c>
      <c r="H122" s="328">
        <v>505.16</v>
      </c>
      <c r="I122" s="328">
        <v>16</v>
      </c>
    </row>
    <row r="123" spans="1:9" x14ac:dyDescent="0.35">
      <c r="A123" s="286">
        <v>400</v>
      </c>
      <c r="B123" s="286" t="s">
        <v>175</v>
      </c>
      <c r="C123" s="326">
        <v>2</v>
      </c>
      <c r="D123" s="328">
        <v>8647</v>
      </c>
      <c r="E123" s="328">
        <v>36</v>
      </c>
      <c r="F123" s="328">
        <v>0</v>
      </c>
      <c r="G123" s="328">
        <v>584</v>
      </c>
      <c r="H123" s="328">
        <v>531.61</v>
      </c>
      <c r="I123" s="328">
        <v>16.3</v>
      </c>
    </row>
    <row r="124" spans="1:9" x14ac:dyDescent="0.35">
      <c r="A124" s="286">
        <v>402</v>
      </c>
      <c r="B124" s="286" t="s">
        <v>176</v>
      </c>
      <c r="C124" s="326">
        <v>11</v>
      </c>
      <c r="D124" s="328">
        <v>9617</v>
      </c>
      <c r="E124" s="328">
        <v>11</v>
      </c>
      <c r="F124" s="328">
        <v>0</v>
      </c>
      <c r="G124" s="328">
        <v>178</v>
      </c>
      <c r="H124" s="328">
        <v>1096.5899999999999</v>
      </c>
      <c r="I124" s="328">
        <v>8.8000000000000007</v>
      </c>
    </row>
    <row r="125" spans="1:9" x14ac:dyDescent="0.35">
      <c r="A125" s="286">
        <v>403</v>
      </c>
      <c r="B125" s="286" t="s">
        <v>177</v>
      </c>
      <c r="C125" s="326">
        <v>14</v>
      </c>
      <c r="D125" s="328">
        <v>3078</v>
      </c>
      <c r="E125" s="328">
        <v>13</v>
      </c>
      <c r="F125" s="328">
        <v>0</v>
      </c>
      <c r="G125" s="328">
        <v>147</v>
      </c>
      <c r="H125" s="328">
        <v>420.81</v>
      </c>
      <c r="I125" s="328">
        <v>7.3</v>
      </c>
    </row>
    <row r="126" spans="1:9" x14ac:dyDescent="0.35">
      <c r="A126" s="286">
        <v>405</v>
      </c>
      <c r="B126" s="286" t="s">
        <v>178</v>
      </c>
      <c r="C126" s="326">
        <v>9</v>
      </c>
      <c r="D126" s="328">
        <v>72699</v>
      </c>
      <c r="E126" s="328">
        <v>128</v>
      </c>
      <c r="F126" s="328">
        <v>1</v>
      </c>
      <c r="G126" s="328">
        <v>5406</v>
      </c>
      <c r="H126" s="328">
        <v>1433.78</v>
      </c>
      <c r="I126" s="328">
        <v>50.7</v>
      </c>
    </row>
    <row r="127" spans="1:9" x14ac:dyDescent="0.35">
      <c r="A127" s="286">
        <v>407</v>
      </c>
      <c r="B127" s="286" t="s">
        <v>179</v>
      </c>
      <c r="C127" s="326">
        <v>34</v>
      </c>
      <c r="D127" s="328">
        <v>2665</v>
      </c>
      <c r="E127" s="328">
        <v>819</v>
      </c>
      <c r="F127" s="328">
        <v>0</v>
      </c>
      <c r="G127" s="328">
        <v>136</v>
      </c>
      <c r="H127" s="328">
        <v>329.88</v>
      </c>
      <c r="I127" s="328">
        <v>8.1</v>
      </c>
    </row>
    <row r="128" spans="1:9" x14ac:dyDescent="0.35">
      <c r="A128" s="286">
        <v>408</v>
      </c>
      <c r="B128" s="286" t="s">
        <v>180</v>
      </c>
      <c r="C128" s="326">
        <v>14</v>
      </c>
      <c r="D128" s="328">
        <v>14427</v>
      </c>
      <c r="E128" s="328">
        <v>21</v>
      </c>
      <c r="F128" s="328">
        <v>0</v>
      </c>
      <c r="G128" s="328">
        <v>391</v>
      </c>
      <c r="H128" s="328">
        <v>737.15</v>
      </c>
      <c r="I128" s="328">
        <v>19.600000000000001</v>
      </c>
    </row>
    <row r="129" spans="1:9" x14ac:dyDescent="0.35">
      <c r="A129" s="286">
        <v>410</v>
      </c>
      <c r="B129" s="286" t="s">
        <v>181</v>
      </c>
      <c r="C129" s="326">
        <v>13</v>
      </c>
      <c r="D129" s="328">
        <v>18927</v>
      </c>
      <c r="E129" s="328">
        <v>23</v>
      </c>
      <c r="F129" s="328">
        <v>2</v>
      </c>
      <c r="G129" s="328">
        <v>258</v>
      </c>
      <c r="H129" s="328">
        <v>648.49</v>
      </c>
      <c r="I129" s="328">
        <v>29.2</v>
      </c>
    </row>
    <row r="130" spans="1:9" x14ac:dyDescent="0.35">
      <c r="A130" s="286">
        <v>416</v>
      </c>
      <c r="B130" s="286" t="s">
        <v>182</v>
      </c>
      <c r="C130" s="326">
        <v>9</v>
      </c>
      <c r="D130" s="328">
        <v>3043</v>
      </c>
      <c r="E130" s="328">
        <v>4</v>
      </c>
      <c r="F130" s="328">
        <v>0</v>
      </c>
      <c r="G130" s="328">
        <v>65</v>
      </c>
      <c r="H130" s="328">
        <v>217.9</v>
      </c>
      <c r="I130" s="328">
        <v>14</v>
      </c>
    </row>
    <row r="131" spans="1:9" x14ac:dyDescent="0.35">
      <c r="A131" s="286">
        <v>418</v>
      </c>
      <c r="B131" s="286" t="s">
        <v>183</v>
      </c>
      <c r="C131" s="326">
        <v>6</v>
      </c>
      <c r="D131" s="328">
        <v>23206</v>
      </c>
      <c r="E131" s="328">
        <v>64</v>
      </c>
      <c r="F131" s="328">
        <v>0</v>
      </c>
      <c r="G131" s="328">
        <v>540</v>
      </c>
      <c r="H131" s="328">
        <v>269.55</v>
      </c>
      <c r="I131" s="328">
        <v>86.1</v>
      </c>
    </row>
    <row r="132" spans="1:9" x14ac:dyDescent="0.35">
      <c r="A132" s="286">
        <v>420</v>
      </c>
      <c r="B132" s="286" t="s">
        <v>184</v>
      </c>
      <c r="C132" s="326">
        <v>11</v>
      </c>
      <c r="D132" s="328">
        <v>9650</v>
      </c>
      <c r="E132" s="328">
        <v>11</v>
      </c>
      <c r="F132" s="328">
        <v>0</v>
      </c>
      <c r="G132" s="328">
        <v>175</v>
      </c>
      <c r="H132" s="328">
        <v>1135.98</v>
      </c>
      <c r="I132" s="328">
        <v>8.5</v>
      </c>
    </row>
    <row r="133" spans="1:9" x14ac:dyDescent="0.35">
      <c r="A133" s="286">
        <v>421</v>
      </c>
      <c r="B133" s="286" t="s">
        <v>185</v>
      </c>
      <c r="C133" s="326">
        <v>16</v>
      </c>
      <c r="D133" s="328">
        <v>737</v>
      </c>
      <c r="E133" s="328">
        <v>1</v>
      </c>
      <c r="F133" s="328">
        <v>0</v>
      </c>
      <c r="G133" s="328">
        <v>13</v>
      </c>
      <c r="H133" s="328">
        <v>480.3</v>
      </c>
      <c r="I133" s="328">
        <v>1.5</v>
      </c>
    </row>
    <row r="134" spans="1:9" x14ac:dyDescent="0.35">
      <c r="A134" s="286">
        <v>422</v>
      </c>
      <c r="B134" s="286" t="s">
        <v>186</v>
      </c>
      <c r="C134" s="326">
        <v>12</v>
      </c>
      <c r="D134" s="328">
        <v>11098</v>
      </c>
      <c r="E134" s="328">
        <v>11</v>
      </c>
      <c r="F134" s="328">
        <v>0</v>
      </c>
      <c r="G134" s="328">
        <v>407</v>
      </c>
      <c r="H134" s="328">
        <v>3417.89</v>
      </c>
      <c r="I134" s="328">
        <v>3.2</v>
      </c>
    </row>
    <row r="135" spans="1:9" x14ac:dyDescent="0.35">
      <c r="A135" s="286">
        <v>423</v>
      </c>
      <c r="B135" s="286" t="s">
        <v>187</v>
      </c>
      <c r="C135" s="326">
        <v>2</v>
      </c>
      <c r="D135" s="328">
        <v>19831</v>
      </c>
      <c r="E135" s="328">
        <v>274</v>
      </c>
      <c r="F135" s="328">
        <v>1</v>
      </c>
      <c r="G135" s="328">
        <v>617</v>
      </c>
      <c r="H135" s="328">
        <v>300.52</v>
      </c>
      <c r="I135" s="328">
        <v>66</v>
      </c>
    </row>
    <row r="136" spans="1:9" x14ac:dyDescent="0.35">
      <c r="A136" s="286">
        <v>425</v>
      </c>
      <c r="B136" s="286" t="s">
        <v>188</v>
      </c>
      <c r="C136" s="326">
        <v>17</v>
      </c>
      <c r="D136" s="328">
        <v>10161</v>
      </c>
      <c r="E136" s="328">
        <v>10</v>
      </c>
      <c r="F136" s="328">
        <v>2</v>
      </c>
      <c r="G136" s="328">
        <v>74</v>
      </c>
      <c r="H136" s="328">
        <v>637.30999999999995</v>
      </c>
      <c r="I136" s="328">
        <v>15.9</v>
      </c>
    </row>
    <row r="137" spans="1:9" x14ac:dyDescent="0.35">
      <c r="A137" s="286">
        <v>426</v>
      </c>
      <c r="B137" s="286" t="s">
        <v>189</v>
      </c>
      <c r="C137" s="326">
        <v>12</v>
      </c>
      <c r="D137" s="328">
        <v>12145</v>
      </c>
      <c r="E137" s="328">
        <v>17</v>
      </c>
      <c r="F137" s="328">
        <v>1</v>
      </c>
      <c r="G137" s="328">
        <v>205</v>
      </c>
      <c r="H137" s="328">
        <v>726.87</v>
      </c>
      <c r="I137" s="328">
        <v>16.7</v>
      </c>
    </row>
    <row r="138" spans="1:9" x14ac:dyDescent="0.35">
      <c r="A138" s="286">
        <v>430</v>
      </c>
      <c r="B138" s="286" t="s">
        <v>190</v>
      </c>
      <c r="C138" s="326">
        <v>2</v>
      </c>
      <c r="D138" s="328">
        <v>16032</v>
      </c>
      <c r="E138" s="328">
        <v>32</v>
      </c>
      <c r="F138" s="328">
        <v>0</v>
      </c>
      <c r="G138" s="328">
        <v>501</v>
      </c>
      <c r="H138" s="328">
        <v>848.13</v>
      </c>
      <c r="I138" s="328">
        <v>18.899999999999999</v>
      </c>
    </row>
    <row r="139" spans="1:9" x14ac:dyDescent="0.35">
      <c r="A139" s="286">
        <v>433</v>
      </c>
      <c r="B139" s="286" t="s">
        <v>191</v>
      </c>
      <c r="C139" s="326">
        <v>5</v>
      </c>
      <c r="D139" s="328">
        <v>7861</v>
      </c>
      <c r="E139" s="328">
        <v>37</v>
      </c>
      <c r="F139" s="328">
        <v>0</v>
      </c>
      <c r="G139" s="328">
        <v>161</v>
      </c>
      <c r="H139" s="328">
        <v>597.63</v>
      </c>
      <c r="I139" s="328">
        <v>13.2</v>
      </c>
    </row>
    <row r="140" spans="1:9" x14ac:dyDescent="0.35">
      <c r="A140" s="286">
        <v>434</v>
      </c>
      <c r="B140" s="286" t="s">
        <v>192</v>
      </c>
      <c r="C140" s="326">
        <v>34</v>
      </c>
      <c r="D140" s="328">
        <v>14891</v>
      </c>
      <c r="E140" s="328">
        <v>6052</v>
      </c>
      <c r="F140" s="328">
        <v>0</v>
      </c>
      <c r="G140" s="328">
        <v>618</v>
      </c>
      <c r="H140" s="328">
        <v>819.76</v>
      </c>
      <c r="I140" s="328">
        <v>18.2</v>
      </c>
    </row>
    <row r="141" spans="1:9" x14ac:dyDescent="0.35">
      <c r="A141" s="286">
        <v>435</v>
      </c>
      <c r="B141" s="286" t="s">
        <v>193</v>
      </c>
      <c r="C141" s="326">
        <v>13</v>
      </c>
      <c r="D141" s="328">
        <v>707</v>
      </c>
      <c r="E141" s="328">
        <v>0</v>
      </c>
      <c r="F141" s="328">
        <v>0</v>
      </c>
      <c r="G141" s="328">
        <v>4</v>
      </c>
      <c r="H141" s="328">
        <v>214.5</v>
      </c>
      <c r="I141" s="328">
        <v>3.3</v>
      </c>
    </row>
    <row r="142" spans="1:9" x14ac:dyDescent="0.35">
      <c r="A142" s="286">
        <v>436</v>
      </c>
      <c r="B142" s="286" t="s">
        <v>194</v>
      </c>
      <c r="C142" s="326">
        <v>17</v>
      </c>
      <c r="D142" s="328">
        <v>2052</v>
      </c>
      <c r="E142" s="328">
        <v>3</v>
      </c>
      <c r="F142" s="328">
        <v>0</v>
      </c>
      <c r="G142" s="328">
        <v>18</v>
      </c>
      <c r="H142" s="328">
        <v>213.87</v>
      </c>
      <c r="I142" s="328">
        <v>9.6</v>
      </c>
    </row>
    <row r="143" spans="1:9" x14ac:dyDescent="0.35">
      <c r="A143" s="286">
        <v>440</v>
      </c>
      <c r="B143" s="286" t="s">
        <v>195</v>
      </c>
      <c r="C143" s="326">
        <v>15</v>
      </c>
      <c r="D143" s="328">
        <v>5340</v>
      </c>
      <c r="E143" s="328">
        <v>4915</v>
      </c>
      <c r="F143" s="328">
        <v>0</v>
      </c>
      <c r="G143" s="328">
        <v>117</v>
      </c>
      <c r="H143" s="328">
        <v>142.44999999999999</v>
      </c>
      <c r="I143" s="328">
        <v>37.5</v>
      </c>
    </row>
    <row r="144" spans="1:9" x14ac:dyDescent="0.35">
      <c r="A144" s="286">
        <v>441</v>
      </c>
      <c r="B144" s="286" t="s">
        <v>196</v>
      </c>
      <c r="C144" s="326">
        <v>9</v>
      </c>
      <c r="D144" s="328">
        <v>4662</v>
      </c>
      <c r="E144" s="328">
        <v>16</v>
      </c>
      <c r="F144" s="328">
        <v>0</v>
      </c>
      <c r="G144" s="328">
        <v>157</v>
      </c>
      <c r="H144" s="328">
        <v>750.06</v>
      </c>
      <c r="I144" s="328">
        <v>6.2</v>
      </c>
    </row>
    <row r="145" spans="1:9" x14ac:dyDescent="0.35">
      <c r="A145" s="286">
        <v>444</v>
      </c>
      <c r="B145" s="286" t="s">
        <v>197</v>
      </c>
      <c r="C145" s="326">
        <v>33</v>
      </c>
      <c r="D145" s="328">
        <v>46296</v>
      </c>
      <c r="E145" s="328">
        <v>1617</v>
      </c>
      <c r="F145" s="328">
        <v>5</v>
      </c>
      <c r="G145" s="328">
        <v>1935</v>
      </c>
      <c r="H145" s="328">
        <v>939.16</v>
      </c>
      <c r="I145" s="328">
        <v>49.3</v>
      </c>
    </row>
    <row r="146" spans="1:9" x14ac:dyDescent="0.35">
      <c r="A146" s="286">
        <v>445</v>
      </c>
      <c r="B146" s="286" t="s">
        <v>198</v>
      </c>
      <c r="C146" s="326">
        <v>2</v>
      </c>
      <c r="D146" s="328">
        <v>15217</v>
      </c>
      <c r="E146" s="328">
        <v>8396</v>
      </c>
      <c r="F146" s="328">
        <v>0</v>
      </c>
      <c r="G146" s="328">
        <v>473</v>
      </c>
      <c r="H146" s="328">
        <v>883.12</v>
      </c>
      <c r="I146" s="328">
        <v>17.2</v>
      </c>
    </row>
    <row r="147" spans="1:9" x14ac:dyDescent="0.35">
      <c r="A147" s="286">
        <v>475</v>
      </c>
      <c r="B147" s="286" t="s">
        <v>199</v>
      </c>
      <c r="C147" s="326">
        <v>15</v>
      </c>
      <c r="D147" s="328">
        <v>5477</v>
      </c>
      <c r="E147" s="328">
        <v>4669</v>
      </c>
      <c r="F147" s="328">
        <v>0</v>
      </c>
      <c r="G147" s="328">
        <v>274</v>
      </c>
      <c r="H147" s="328">
        <v>521.75</v>
      </c>
      <c r="I147" s="328">
        <v>10.5</v>
      </c>
    </row>
    <row r="148" spans="1:9" x14ac:dyDescent="0.35">
      <c r="A148" s="286">
        <v>480</v>
      </c>
      <c r="B148" s="286" t="s">
        <v>200</v>
      </c>
      <c r="C148" s="326">
        <v>2</v>
      </c>
      <c r="D148" s="328">
        <v>2018</v>
      </c>
      <c r="E148" s="328">
        <v>21</v>
      </c>
      <c r="F148" s="328">
        <v>0</v>
      </c>
      <c r="G148" s="328">
        <v>50</v>
      </c>
      <c r="H148" s="328">
        <v>195.31</v>
      </c>
      <c r="I148" s="328">
        <v>10.3</v>
      </c>
    </row>
    <row r="149" spans="1:9" x14ac:dyDescent="0.35">
      <c r="A149" s="286">
        <v>481</v>
      </c>
      <c r="B149" s="286" t="s">
        <v>201</v>
      </c>
      <c r="C149" s="326">
        <v>2</v>
      </c>
      <c r="D149" s="328">
        <v>9554</v>
      </c>
      <c r="E149" s="328">
        <v>101</v>
      </c>
      <c r="F149" s="328">
        <v>0</v>
      </c>
      <c r="G149" s="328">
        <v>158</v>
      </c>
      <c r="H149" s="328">
        <v>174.75</v>
      </c>
      <c r="I149" s="328">
        <v>54.7</v>
      </c>
    </row>
    <row r="150" spans="1:9" x14ac:dyDescent="0.35">
      <c r="A150" s="286">
        <v>483</v>
      </c>
      <c r="B150" s="286" t="s">
        <v>202</v>
      </c>
      <c r="C150" s="326">
        <v>17</v>
      </c>
      <c r="D150" s="328">
        <v>1104</v>
      </c>
      <c r="E150" s="328">
        <v>0</v>
      </c>
      <c r="F150" s="328">
        <v>0</v>
      </c>
      <c r="G150" s="328">
        <v>6</v>
      </c>
      <c r="H150" s="328">
        <v>229.94</v>
      </c>
      <c r="I150" s="328">
        <v>4.8</v>
      </c>
    </row>
    <row r="151" spans="1:9" x14ac:dyDescent="0.35">
      <c r="A151" s="286">
        <v>484</v>
      </c>
      <c r="B151" s="286" t="s">
        <v>203</v>
      </c>
      <c r="C151" s="326">
        <v>4</v>
      </c>
      <c r="D151" s="328">
        <v>3115</v>
      </c>
      <c r="E151" s="328">
        <v>13</v>
      </c>
      <c r="F151" s="328">
        <v>0</v>
      </c>
      <c r="G151" s="328">
        <v>43</v>
      </c>
      <c r="H151" s="328">
        <v>446.12</v>
      </c>
      <c r="I151" s="328">
        <v>7</v>
      </c>
    </row>
    <row r="152" spans="1:9" x14ac:dyDescent="0.35">
      <c r="A152" s="286">
        <v>489</v>
      </c>
      <c r="B152" s="286" t="s">
        <v>204</v>
      </c>
      <c r="C152" s="326">
        <v>8</v>
      </c>
      <c r="D152" s="328">
        <v>1940</v>
      </c>
      <c r="E152" s="328">
        <v>4</v>
      </c>
      <c r="F152" s="328">
        <v>0</v>
      </c>
      <c r="G152" s="328">
        <v>92</v>
      </c>
      <c r="H152" s="328">
        <v>422.47</v>
      </c>
      <c r="I152" s="328">
        <v>4.5999999999999996</v>
      </c>
    </row>
    <row r="153" spans="1:9" x14ac:dyDescent="0.35">
      <c r="A153" s="286">
        <v>491</v>
      </c>
      <c r="B153" s="286" t="s">
        <v>205</v>
      </c>
      <c r="C153" s="326">
        <v>10</v>
      </c>
      <c r="D153" s="328">
        <v>53818</v>
      </c>
      <c r="E153" s="328">
        <v>82</v>
      </c>
      <c r="F153" s="328">
        <v>2</v>
      </c>
      <c r="G153" s="328">
        <v>2140</v>
      </c>
      <c r="H153" s="328">
        <v>2548.36</v>
      </c>
      <c r="I153" s="328">
        <v>21.1</v>
      </c>
    </row>
    <row r="154" spans="1:9" x14ac:dyDescent="0.35">
      <c r="A154" s="286">
        <v>494</v>
      </c>
      <c r="B154" s="286" t="s">
        <v>206</v>
      </c>
      <c r="C154" s="326">
        <v>17</v>
      </c>
      <c r="D154" s="328">
        <v>8980</v>
      </c>
      <c r="E154" s="328">
        <v>5</v>
      </c>
      <c r="F154" s="328">
        <v>0</v>
      </c>
      <c r="G154" s="328">
        <v>117</v>
      </c>
      <c r="H154" s="328">
        <v>783.74</v>
      </c>
      <c r="I154" s="328">
        <v>11.5</v>
      </c>
    </row>
    <row r="155" spans="1:9" x14ac:dyDescent="0.35">
      <c r="A155" s="286">
        <v>495</v>
      </c>
      <c r="B155" s="286" t="s">
        <v>207</v>
      </c>
      <c r="C155" s="326">
        <v>13</v>
      </c>
      <c r="D155" s="328">
        <v>1584</v>
      </c>
      <c r="E155" s="328">
        <v>1</v>
      </c>
      <c r="F155" s="328">
        <v>0</v>
      </c>
      <c r="G155" s="328">
        <v>17</v>
      </c>
      <c r="H155" s="328">
        <v>733.24</v>
      </c>
      <c r="I155" s="328">
        <v>2.2000000000000002</v>
      </c>
    </row>
    <row r="156" spans="1:9" x14ac:dyDescent="0.35">
      <c r="A156" s="286">
        <v>498</v>
      </c>
      <c r="B156" s="286" t="s">
        <v>208</v>
      </c>
      <c r="C156" s="326">
        <v>19</v>
      </c>
      <c r="D156" s="328">
        <v>2299</v>
      </c>
      <c r="E156" s="328">
        <v>13</v>
      </c>
      <c r="F156" s="328">
        <v>5</v>
      </c>
      <c r="G156" s="328">
        <v>86</v>
      </c>
      <c r="H156" s="328">
        <v>1906</v>
      </c>
      <c r="I156" s="328">
        <v>1.2</v>
      </c>
    </row>
    <row r="157" spans="1:9" x14ac:dyDescent="0.35">
      <c r="A157" s="286">
        <v>499</v>
      </c>
      <c r="B157" s="286" t="s">
        <v>209</v>
      </c>
      <c r="C157" s="326">
        <v>15</v>
      </c>
      <c r="D157" s="328">
        <v>19444</v>
      </c>
      <c r="E157" s="328">
        <v>13350</v>
      </c>
      <c r="F157" s="328">
        <v>1</v>
      </c>
      <c r="G157" s="328">
        <v>514</v>
      </c>
      <c r="H157" s="328">
        <v>849.13</v>
      </c>
      <c r="I157" s="328">
        <v>22.9</v>
      </c>
    </row>
    <row r="158" spans="1:9" x14ac:dyDescent="0.35">
      <c r="A158" s="286">
        <v>500</v>
      </c>
      <c r="B158" s="286" t="s">
        <v>210</v>
      </c>
      <c r="C158" s="326">
        <v>13</v>
      </c>
      <c r="D158" s="328">
        <v>10170</v>
      </c>
      <c r="E158" s="328">
        <v>13</v>
      </c>
      <c r="F158" s="328">
        <v>0</v>
      </c>
      <c r="G158" s="328">
        <v>145</v>
      </c>
      <c r="H158" s="328">
        <v>144.05000000000001</v>
      </c>
      <c r="I158" s="328">
        <v>70.599999999999994</v>
      </c>
    </row>
    <row r="159" spans="1:9" x14ac:dyDescent="0.35">
      <c r="A159" s="286">
        <v>503</v>
      </c>
      <c r="B159" s="286" t="s">
        <v>211</v>
      </c>
      <c r="C159" s="326">
        <v>2</v>
      </c>
      <c r="D159" s="328">
        <v>7766</v>
      </c>
      <c r="E159" s="328">
        <v>56</v>
      </c>
      <c r="F159" s="328">
        <v>0</v>
      </c>
      <c r="G159" s="328">
        <v>147</v>
      </c>
      <c r="H159" s="328">
        <v>519.79</v>
      </c>
      <c r="I159" s="328">
        <v>14.9</v>
      </c>
    </row>
    <row r="160" spans="1:9" x14ac:dyDescent="0.35">
      <c r="A160" s="286">
        <v>504</v>
      </c>
      <c r="B160" s="286" t="s">
        <v>212</v>
      </c>
      <c r="C160" s="326">
        <v>34</v>
      </c>
      <c r="D160" s="328">
        <v>1922</v>
      </c>
      <c r="E160" s="328">
        <v>176</v>
      </c>
      <c r="F160" s="328">
        <v>0</v>
      </c>
      <c r="G160" s="328">
        <v>75</v>
      </c>
      <c r="H160" s="328">
        <v>200.36</v>
      </c>
      <c r="I160" s="328">
        <v>9.6</v>
      </c>
    </row>
    <row r="161" spans="1:9" x14ac:dyDescent="0.35">
      <c r="A161" s="286">
        <v>505</v>
      </c>
      <c r="B161" s="286" t="s">
        <v>213</v>
      </c>
      <c r="C161" s="326">
        <v>35</v>
      </c>
      <c r="D161" s="328">
        <v>20686</v>
      </c>
      <c r="E161" s="328">
        <v>196</v>
      </c>
      <c r="F161" s="328">
        <v>3</v>
      </c>
      <c r="G161" s="328">
        <v>663</v>
      </c>
      <c r="H161" s="328">
        <v>580.82000000000005</v>
      </c>
      <c r="I161" s="328">
        <v>35.6</v>
      </c>
    </row>
    <row r="162" spans="1:9" x14ac:dyDescent="0.35">
      <c r="A162" s="286">
        <v>507</v>
      </c>
      <c r="B162" s="286" t="s">
        <v>214</v>
      </c>
      <c r="C162" s="326">
        <v>10</v>
      </c>
      <c r="D162" s="328">
        <v>5924</v>
      </c>
      <c r="E162" s="328">
        <v>12</v>
      </c>
      <c r="F162" s="328">
        <v>0</v>
      </c>
      <c r="G162" s="328">
        <v>124</v>
      </c>
      <c r="H162" s="328">
        <v>980.87</v>
      </c>
      <c r="I162" s="328">
        <v>6</v>
      </c>
    </row>
    <row r="163" spans="1:9" x14ac:dyDescent="0.35">
      <c r="A163" s="286">
        <v>508</v>
      </c>
      <c r="B163" s="286" t="s">
        <v>215</v>
      </c>
      <c r="C163" s="326">
        <v>6</v>
      </c>
      <c r="D163" s="328">
        <v>9983</v>
      </c>
      <c r="E163" s="328">
        <v>19</v>
      </c>
      <c r="F163" s="328">
        <v>3</v>
      </c>
      <c r="G163" s="328">
        <v>256</v>
      </c>
      <c r="H163" s="328">
        <v>534.85</v>
      </c>
      <c r="I163" s="328">
        <v>18.7</v>
      </c>
    </row>
    <row r="164" spans="1:9" x14ac:dyDescent="0.35">
      <c r="A164" s="286">
        <v>529</v>
      </c>
      <c r="B164" s="286" t="s">
        <v>216</v>
      </c>
      <c r="C164" s="326">
        <v>2</v>
      </c>
      <c r="D164" s="328">
        <v>19245</v>
      </c>
      <c r="E164" s="328">
        <v>251</v>
      </c>
      <c r="F164" s="328">
        <v>1</v>
      </c>
      <c r="G164" s="328">
        <v>481</v>
      </c>
      <c r="H164" s="328">
        <v>312.45</v>
      </c>
      <c r="I164" s="328">
        <v>61.6</v>
      </c>
    </row>
    <row r="165" spans="1:9" x14ac:dyDescent="0.35">
      <c r="A165" s="286">
        <v>531</v>
      </c>
      <c r="B165" s="286" t="s">
        <v>217</v>
      </c>
      <c r="C165" s="326">
        <v>4</v>
      </c>
      <c r="D165" s="328">
        <v>5437</v>
      </c>
      <c r="E165" s="328">
        <v>27</v>
      </c>
      <c r="F165" s="328">
        <v>0</v>
      </c>
      <c r="G165" s="328">
        <v>82</v>
      </c>
      <c r="H165" s="328">
        <v>182.91</v>
      </c>
      <c r="I165" s="328">
        <v>29.7</v>
      </c>
    </row>
    <row r="166" spans="1:9" x14ac:dyDescent="0.35">
      <c r="A166" s="286">
        <v>535</v>
      </c>
      <c r="B166" s="286" t="s">
        <v>218</v>
      </c>
      <c r="C166" s="326">
        <v>17</v>
      </c>
      <c r="D166" s="328">
        <v>10737</v>
      </c>
      <c r="E166" s="328">
        <v>5</v>
      </c>
      <c r="F166" s="328">
        <v>0</v>
      </c>
      <c r="G166" s="328">
        <v>96</v>
      </c>
      <c r="H166" s="328">
        <v>527.88</v>
      </c>
      <c r="I166" s="328">
        <v>20.3</v>
      </c>
    </row>
    <row r="167" spans="1:9" x14ac:dyDescent="0.35">
      <c r="A167" s="286">
        <v>536</v>
      </c>
      <c r="B167" s="286" t="s">
        <v>219</v>
      </c>
      <c r="C167" s="326">
        <v>6</v>
      </c>
      <c r="D167" s="328">
        <v>33527</v>
      </c>
      <c r="E167" s="328">
        <v>107</v>
      </c>
      <c r="F167" s="328">
        <v>3</v>
      </c>
      <c r="G167" s="328">
        <v>866</v>
      </c>
      <c r="H167" s="328">
        <v>288.27</v>
      </c>
      <c r="I167" s="328">
        <v>116.3</v>
      </c>
    </row>
    <row r="168" spans="1:9" x14ac:dyDescent="0.35">
      <c r="A168" s="286">
        <v>538</v>
      </c>
      <c r="B168" s="286" t="s">
        <v>220</v>
      </c>
      <c r="C168" s="326">
        <v>2</v>
      </c>
      <c r="D168" s="328">
        <v>4733</v>
      </c>
      <c r="E168" s="328">
        <v>39</v>
      </c>
      <c r="F168" s="328">
        <v>1</v>
      </c>
      <c r="G168" s="328">
        <v>70</v>
      </c>
      <c r="H168" s="328">
        <v>198.99</v>
      </c>
      <c r="I168" s="328">
        <v>23.8</v>
      </c>
    </row>
    <row r="169" spans="1:9" x14ac:dyDescent="0.35">
      <c r="A169" s="286">
        <v>541</v>
      </c>
      <c r="B169" s="286" t="s">
        <v>221</v>
      </c>
      <c r="C169" s="326">
        <v>12</v>
      </c>
      <c r="D169" s="328">
        <v>9784</v>
      </c>
      <c r="E169" s="328">
        <v>7</v>
      </c>
      <c r="F169" s="328">
        <v>0</v>
      </c>
      <c r="G169" s="328">
        <v>144</v>
      </c>
      <c r="H169" s="328">
        <v>2401.36</v>
      </c>
      <c r="I169" s="328">
        <v>4.0999999999999996</v>
      </c>
    </row>
    <row r="170" spans="1:9" x14ac:dyDescent="0.35">
      <c r="A170" s="286">
        <v>543</v>
      </c>
      <c r="B170" s="286" t="s">
        <v>222</v>
      </c>
      <c r="C170" s="326">
        <v>35</v>
      </c>
      <c r="D170" s="328">
        <v>42665</v>
      </c>
      <c r="E170" s="328">
        <v>510</v>
      </c>
      <c r="F170" s="328">
        <v>1</v>
      </c>
      <c r="G170" s="328">
        <v>1976</v>
      </c>
      <c r="H170" s="328">
        <v>361.87</v>
      </c>
      <c r="I170" s="328">
        <v>117.9</v>
      </c>
    </row>
    <row r="171" spans="1:9" x14ac:dyDescent="0.35">
      <c r="A171" s="286">
        <v>545</v>
      </c>
      <c r="B171" s="286" t="s">
        <v>223</v>
      </c>
      <c r="C171" s="326">
        <v>15</v>
      </c>
      <c r="D171" s="328">
        <v>9471</v>
      </c>
      <c r="E171" s="328">
        <v>7553</v>
      </c>
      <c r="F171" s="328">
        <v>0</v>
      </c>
      <c r="G171" s="328">
        <v>1403</v>
      </c>
      <c r="H171" s="328">
        <v>977.71</v>
      </c>
      <c r="I171" s="328">
        <v>9.6999999999999993</v>
      </c>
    </row>
    <row r="172" spans="1:9" x14ac:dyDescent="0.35">
      <c r="A172" s="286">
        <v>560</v>
      </c>
      <c r="B172" s="286" t="s">
        <v>224</v>
      </c>
      <c r="C172" s="326">
        <v>7</v>
      </c>
      <c r="D172" s="328">
        <v>16091</v>
      </c>
      <c r="E172" s="328">
        <v>103</v>
      </c>
      <c r="F172" s="328">
        <v>3</v>
      </c>
      <c r="G172" s="328">
        <v>461</v>
      </c>
      <c r="H172" s="328">
        <v>785.18</v>
      </c>
      <c r="I172" s="328">
        <v>20.5</v>
      </c>
    </row>
    <row r="173" spans="1:9" x14ac:dyDescent="0.35">
      <c r="A173" s="286">
        <v>561</v>
      </c>
      <c r="B173" s="286" t="s">
        <v>225</v>
      </c>
      <c r="C173" s="326">
        <v>2</v>
      </c>
      <c r="D173" s="328">
        <v>1364</v>
      </c>
      <c r="E173" s="328">
        <v>2</v>
      </c>
      <c r="F173" s="328">
        <v>0</v>
      </c>
      <c r="G173" s="328">
        <v>93</v>
      </c>
      <c r="H173" s="328">
        <v>117.64</v>
      </c>
      <c r="I173" s="328">
        <v>11.6</v>
      </c>
    </row>
    <row r="174" spans="1:9" x14ac:dyDescent="0.35">
      <c r="A174" s="286">
        <v>562</v>
      </c>
      <c r="B174" s="286" t="s">
        <v>226</v>
      </c>
      <c r="C174" s="326">
        <v>6</v>
      </c>
      <c r="D174" s="328">
        <v>9221</v>
      </c>
      <c r="E174" s="328">
        <v>12</v>
      </c>
      <c r="F174" s="328">
        <v>1</v>
      </c>
      <c r="G174" s="328">
        <v>138</v>
      </c>
      <c r="H174" s="328">
        <v>799.65</v>
      </c>
      <c r="I174" s="328">
        <v>11.5</v>
      </c>
    </row>
    <row r="175" spans="1:9" x14ac:dyDescent="0.35">
      <c r="A175" s="286">
        <v>563</v>
      </c>
      <c r="B175" s="286" t="s">
        <v>227</v>
      </c>
      <c r="C175" s="326">
        <v>17</v>
      </c>
      <c r="D175" s="328">
        <v>7430</v>
      </c>
      <c r="E175" s="328">
        <v>12</v>
      </c>
      <c r="F175" s="328">
        <v>0</v>
      </c>
      <c r="G175" s="328">
        <v>105</v>
      </c>
      <c r="H175" s="328">
        <v>587.79999999999995</v>
      </c>
      <c r="I175" s="328">
        <v>12.6</v>
      </c>
    </row>
    <row r="176" spans="1:9" x14ac:dyDescent="0.35">
      <c r="A176" s="286">
        <v>564</v>
      </c>
      <c r="B176" s="286" t="s">
        <v>228</v>
      </c>
      <c r="C176" s="326">
        <v>17</v>
      </c>
      <c r="D176" s="328">
        <v>203567</v>
      </c>
      <c r="E176" s="328">
        <v>468</v>
      </c>
      <c r="F176" s="328">
        <v>142</v>
      </c>
      <c r="G176" s="328">
        <v>8496</v>
      </c>
      <c r="H176" s="328">
        <v>2971.96</v>
      </c>
      <c r="I176" s="328">
        <v>68.5</v>
      </c>
    </row>
    <row r="177" spans="1:9" x14ac:dyDescent="0.35">
      <c r="A177" s="286">
        <v>576</v>
      </c>
      <c r="B177" s="286" t="s">
        <v>229</v>
      </c>
      <c r="C177" s="326">
        <v>7</v>
      </c>
      <c r="D177" s="328">
        <v>2963</v>
      </c>
      <c r="E177" s="328">
        <v>11</v>
      </c>
      <c r="F177" s="328">
        <v>0</v>
      </c>
      <c r="G177" s="328">
        <v>38</v>
      </c>
      <c r="H177" s="328">
        <v>523.12</v>
      </c>
      <c r="I177" s="328">
        <v>5.7</v>
      </c>
    </row>
    <row r="178" spans="1:9" x14ac:dyDescent="0.35">
      <c r="A178" s="286">
        <v>577</v>
      </c>
      <c r="B178" s="286" t="s">
        <v>230</v>
      </c>
      <c r="C178" s="326">
        <v>2</v>
      </c>
      <c r="D178" s="328">
        <v>10832</v>
      </c>
      <c r="E178" s="328">
        <v>103</v>
      </c>
      <c r="F178" s="328">
        <v>1</v>
      </c>
      <c r="G178" s="328">
        <v>279</v>
      </c>
      <c r="H178" s="328">
        <v>238.4</v>
      </c>
      <c r="I178" s="328">
        <v>45.4</v>
      </c>
    </row>
    <row r="179" spans="1:9" x14ac:dyDescent="0.35">
      <c r="A179" s="286">
        <v>578</v>
      </c>
      <c r="B179" s="286" t="s">
        <v>231</v>
      </c>
      <c r="C179" s="326">
        <v>18</v>
      </c>
      <c r="D179" s="328">
        <v>3336</v>
      </c>
      <c r="E179" s="328">
        <v>2</v>
      </c>
      <c r="F179" s="328">
        <v>0</v>
      </c>
      <c r="G179" s="328">
        <v>36</v>
      </c>
      <c r="H179" s="328">
        <v>918.24</v>
      </c>
      <c r="I179" s="328">
        <v>3.6</v>
      </c>
    </row>
    <row r="180" spans="1:9" x14ac:dyDescent="0.35">
      <c r="A180" s="286">
        <v>580</v>
      </c>
      <c r="B180" s="286" t="s">
        <v>232</v>
      </c>
      <c r="C180" s="326">
        <v>9</v>
      </c>
      <c r="D180" s="328">
        <v>4842</v>
      </c>
      <c r="E180" s="328">
        <v>9</v>
      </c>
      <c r="F180" s="328">
        <v>0</v>
      </c>
      <c r="G180" s="328">
        <v>103</v>
      </c>
      <c r="H180" s="328">
        <v>592.01</v>
      </c>
      <c r="I180" s="328">
        <v>8.1999999999999993</v>
      </c>
    </row>
    <row r="181" spans="1:9" x14ac:dyDescent="0.35">
      <c r="A181" s="286">
        <v>581</v>
      </c>
      <c r="B181" s="286" t="s">
        <v>233</v>
      </c>
      <c r="C181" s="326">
        <v>6</v>
      </c>
      <c r="D181" s="328">
        <v>6469</v>
      </c>
      <c r="E181" s="328">
        <v>7</v>
      </c>
      <c r="F181" s="328">
        <v>0</v>
      </c>
      <c r="G181" s="328">
        <v>138</v>
      </c>
      <c r="H181" s="328">
        <v>852.93</v>
      </c>
      <c r="I181" s="328">
        <v>7.6</v>
      </c>
    </row>
    <row r="182" spans="1:9" x14ac:dyDescent="0.35">
      <c r="A182" s="286">
        <v>583</v>
      </c>
      <c r="B182" s="286" t="s">
        <v>234</v>
      </c>
      <c r="C182" s="326">
        <v>19</v>
      </c>
      <c r="D182" s="328">
        <v>954</v>
      </c>
      <c r="E182" s="328">
        <v>2</v>
      </c>
      <c r="F182" s="328">
        <v>0</v>
      </c>
      <c r="G182" s="328">
        <v>8</v>
      </c>
      <c r="H182" s="328">
        <v>1836.14</v>
      </c>
      <c r="I182" s="328">
        <v>0.5</v>
      </c>
    </row>
    <row r="183" spans="1:9" x14ac:dyDescent="0.35">
      <c r="A183" s="286">
        <v>584</v>
      </c>
      <c r="B183" s="286" t="s">
        <v>235</v>
      </c>
      <c r="C183" s="326">
        <v>16</v>
      </c>
      <c r="D183" s="328">
        <v>2825</v>
      </c>
      <c r="E183" s="328">
        <v>11</v>
      </c>
      <c r="F183" s="328">
        <v>0</v>
      </c>
      <c r="G183" s="328">
        <v>27</v>
      </c>
      <c r="H183" s="328">
        <v>747.87</v>
      </c>
      <c r="I183" s="328">
        <v>3.8</v>
      </c>
    </row>
    <row r="184" spans="1:9" x14ac:dyDescent="0.35">
      <c r="A184" s="286">
        <v>588</v>
      </c>
      <c r="B184" s="286" t="s">
        <v>236</v>
      </c>
      <c r="C184" s="326">
        <v>10</v>
      </c>
      <c r="D184" s="328">
        <v>1713</v>
      </c>
      <c r="E184" s="328">
        <v>2</v>
      </c>
      <c r="F184" s="328">
        <v>0</v>
      </c>
      <c r="G184" s="328">
        <v>36</v>
      </c>
      <c r="H184" s="328">
        <v>374.44</v>
      </c>
      <c r="I184" s="328">
        <v>4.5999999999999996</v>
      </c>
    </row>
    <row r="185" spans="1:9" x14ac:dyDescent="0.35">
      <c r="A185" s="286">
        <v>592</v>
      </c>
      <c r="B185" s="286" t="s">
        <v>237</v>
      </c>
      <c r="C185" s="326">
        <v>13</v>
      </c>
      <c r="D185" s="328">
        <v>3900</v>
      </c>
      <c r="E185" s="328">
        <v>5</v>
      </c>
      <c r="F185" s="328">
        <v>1</v>
      </c>
      <c r="G185" s="328">
        <v>56</v>
      </c>
      <c r="H185" s="328">
        <v>456.4</v>
      </c>
      <c r="I185" s="328">
        <v>8.5</v>
      </c>
    </row>
    <row r="186" spans="1:9" x14ac:dyDescent="0.35">
      <c r="A186" s="286">
        <v>593</v>
      </c>
      <c r="B186" s="286" t="s">
        <v>238</v>
      </c>
      <c r="C186" s="326">
        <v>10</v>
      </c>
      <c r="D186" s="328">
        <v>17933</v>
      </c>
      <c r="E186" s="328">
        <v>20</v>
      </c>
      <c r="F186" s="328">
        <v>0</v>
      </c>
      <c r="G186" s="328">
        <v>483</v>
      </c>
      <c r="H186" s="328">
        <v>1568.7</v>
      </c>
      <c r="I186" s="328">
        <v>11.4</v>
      </c>
    </row>
    <row r="187" spans="1:9" x14ac:dyDescent="0.35">
      <c r="A187" s="286">
        <v>595</v>
      </c>
      <c r="B187" s="286" t="s">
        <v>239</v>
      </c>
      <c r="C187" s="326">
        <v>11</v>
      </c>
      <c r="D187" s="328">
        <v>4498</v>
      </c>
      <c r="E187" s="328">
        <v>7</v>
      </c>
      <c r="F187" s="328">
        <v>0</v>
      </c>
      <c r="G187" s="328">
        <v>76</v>
      </c>
      <c r="H187" s="328">
        <v>1153.22</v>
      </c>
      <c r="I187" s="328">
        <v>3.9</v>
      </c>
    </row>
    <row r="188" spans="1:9" x14ac:dyDescent="0.35">
      <c r="A188" s="286">
        <v>598</v>
      </c>
      <c r="B188" s="286" t="s">
        <v>240</v>
      </c>
      <c r="C188" s="326">
        <v>15</v>
      </c>
      <c r="D188" s="328">
        <v>19278</v>
      </c>
      <c r="E188" s="328">
        <v>10861</v>
      </c>
      <c r="F188" s="328">
        <v>2</v>
      </c>
      <c r="G188" s="328">
        <v>1734</v>
      </c>
      <c r="H188" s="328">
        <v>88.45</v>
      </c>
      <c r="I188" s="328">
        <v>218</v>
      </c>
    </row>
    <row r="189" spans="1:9" x14ac:dyDescent="0.35">
      <c r="A189" s="286">
        <v>599</v>
      </c>
      <c r="B189" s="286" t="s">
        <v>241</v>
      </c>
      <c r="C189" s="326">
        <v>15</v>
      </c>
      <c r="D189" s="328">
        <v>11016</v>
      </c>
      <c r="E189" s="328">
        <v>9801</v>
      </c>
      <c r="F189" s="328">
        <v>0</v>
      </c>
      <c r="G189" s="328">
        <v>280</v>
      </c>
      <c r="H189" s="328">
        <v>794.26</v>
      </c>
      <c r="I189" s="328">
        <v>13.9</v>
      </c>
    </row>
    <row r="190" spans="1:9" x14ac:dyDescent="0.35">
      <c r="A190" s="286">
        <v>601</v>
      </c>
      <c r="B190" s="286" t="s">
        <v>242</v>
      </c>
      <c r="C190" s="326">
        <v>13</v>
      </c>
      <c r="D190" s="328">
        <v>4053</v>
      </c>
      <c r="E190" s="328">
        <v>0</v>
      </c>
      <c r="F190" s="328">
        <v>0</v>
      </c>
      <c r="G190" s="328">
        <v>39</v>
      </c>
      <c r="H190" s="328">
        <v>1074.9000000000001</v>
      </c>
      <c r="I190" s="328">
        <v>3.8</v>
      </c>
    </row>
    <row r="191" spans="1:9" x14ac:dyDescent="0.35">
      <c r="A191" s="286">
        <v>604</v>
      </c>
      <c r="B191" s="286" t="s">
        <v>243</v>
      </c>
      <c r="C191" s="326">
        <v>6</v>
      </c>
      <c r="D191" s="328">
        <v>19368</v>
      </c>
      <c r="E191" s="328">
        <v>84</v>
      </c>
      <c r="F191" s="328">
        <v>1</v>
      </c>
      <c r="G191" s="328">
        <v>718</v>
      </c>
      <c r="H191" s="328">
        <v>81.42</v>
      </c>
      <c r="I191" s="328">
        <v>237.9</v>
      </c>
    </row>
    <row r="192" spans="1:9" x14ac:dyDescent="0.35">
      <c r="A192" s="286">
        <v>607</v>
      </c>
      <c r="B192" s="286" t="s">
        <v>244</v>
      </c>
      <c r="C192" s="326">
        <v>12</v>
      </c>
      <c r="D192" s="328">
        <v>4307</v>
      </c>
      <c r="E192" s="328">
        <v>3</v>
      </c>
      <c r="F192" s="328">
        <v>0</v>
      </c>
      <c r="G192" s="328">
        <v>35</v>
      </c>
      <c r="H192" s="328">
        <v>804.16</v>
      </c>
      <c r="I192" s="328">
        <v>5.4</v>
      </c>
    </row>
    <row r="193" spans="1:9" x14ac:dyDescent="0.35">
      <c r="A193" s="286">
        <v>608</v>
      </c>
      <c r="B193" s="286" t="s">
        <v>245</v>
      </c>
      <c r="C193" s="326">
        <v>4</v>
      </c>
      <c r="D193" s="328">
        <v>2146</v>
      </c>
      <c r="E193" s="328">
        <v>2</v>
      </c>
      <c r="F193" s="328">
        <v>0</v>
      </c>
      <c r="G193" s="328">
        <v>19</v>
      </c>
      <c r="H193" s="328">
        <v>301.18</v>
      </c>
      <c r="I193" s="328">
        <v>7.1</v>
      </c>
    </row>
    <row r="194" spans="1:9" x14ac:dyDescent="0.35">
      <c r="A194" s="286">
        <v>609</v>
      </c>
      <c r="B194" s="286" t="s">
        <v>246</v>
      </c>
      <c r="C194" s="326">
        <v>4</v>
      </c>
      <c r="D194" s="328">
        <v>84403</v>
      </c>
      <c r="E194" s="328">
        <v>464</v>
      </c>
      <c r="F194" s="328">
        <v>1</v>
      </c>
      <c r="G194" s="328">
        <v>2837</v>
      </c>
      <c r="H194" s="328">
        <v>1155.83</v>
      </c>
      <c r="I194" s="328">
        <v>73</v>
      </c>
    </row>
    <row r="195" spans="1:9" x14ac:dyDescent="0.35">
      <c r="A195" s="286">
        <v>611</v>
      </c>
      <c r="B195" s="286" t="s">
        <v>247</v>
      </c>
      <c r="C195" s="326">
        <v>35</v>
      </c>
      <c r="D195" s="328">
        <v>5068</v>
      </c>
      <c r="E195" s="328">
        <v>122</v>
      </c>
      <c r="F195" s="328">
        <v>0</v>
      </c>
      <c r="G195" s="328">
        <v>134</v>
      </c>
      <c r="H195" s="328">
        <v>146.52000000000001</v>
      </c>
      <c r="I195" s="328">
        <v>34.6</v>
      </c>
    </row>
    <row r="196" spans="1:9" x14ac:dyDescent="0.35">
      <c r="A196" s="286">
        <v>614</v>
      </c>
      <c r="B196" s="286" t="s">
        <v>248</v>
      </c>
      <c r="C196" s="326">
        <v>19</v>
      </c>
      <c r="D196" s="328">
        <v>3237</v>
      </c>
      <c r="E196" s="328">
        <v>4</v>
      </c>
      <c r="F196" s="328">
        <v>0</v>
      </c>
      <c r="G196" s="328">
        <v>33</v>
      </c>
      <c r="H196" s="328">
        <v>3039.79</v>
      </c>
      <c r="I196" s="328">
        <v>1.1000000000000001</v>
      </c>
    </row>
    <row r="197" spans="1:9" x14ac:dyDescent="0.35">
      <c r="A197" s="286">
        <v>615</v>
      </c>
      <c r="B197" s="286" t="s">
        <v>249</v>
      </c>
      <c r="C197" s="326">
        <v>17</v>
      </c>
      <c r="D197" s="328">
        <v>7990</v>
      </c>
      <c r="E197" s="328">
        <v>9</v>
      </c>
      <c r="F197" s="328">
        <v>3</v>
      </c>
      <c r="G197" s="328">
        <v>170</v>
      </c>
      <c r="H197" s="328">
        <v>5638.16</v>
      </c>
      <c r="I197" s="328">
        <v>1.4</v>
      </c>
    </row>
    <row r="198" spans="1:9" x14ac:dyDescent="0.35">
      <c r="A198" s="286">
        <v>616</v>
      </c>
      <c r="B198" s="286" t="s">
        <v>250</v>
      </c>
      <c r="C198" s="326">
        <v>34</v>
      </c>
      <c r="D198" s="328">
        <v>1899</v>
      </c>
      <c r="E198" s="328">
        <v>18</v>
      </c>
      <c r="F198" s="328">
        <v>0</v>
      </c>
      <c r="G198" s="328">
        <v>58</v>
      </c>
      <c r="H198" s="328">
        <v>145.03</v>
      </c>
      <c r="I198" s="328">
        <v>13.1</v>
      </c>
    </row>
    <row r="199" spans="1:9" x14ac:dyDescent="0.35">
      <c r="A199" s="286">
        <v>619</v>
      </c>
      <c r="B199" s="286" t="s">
        <v>251</v>
      </c>
      <c r="C199" s="326">
        <v>6</v>
      </c>
      <c r="D199" s="328">
        <v>2896</v>
      </c>
      <c r="E199" s="328">
        <v>4</v>
      </c>
      <c r="F199" s="328">
        <v>0</v>
      </c>
      <c r="G199" s="328">
        <v>99</v>
      </c>
      <c r="H199" s="328">
        <v>361.08</v>
      </c>
      <c r="I199" s="328">
        <v>8</v>
      </c>
    </row>
    <row r="200" spans="1:9" x14ac:dyDescent="0.35">
      <c r="A200" s="286">
        <v>620</v>
      </c>
      <c r="B200" s="286" t="s">
        <v>252</v>
      </c>
      <c r="C200" s="326">
        <v>18</v>
      </c>
      <c r="D200" s="328">
        <v>2597</v>
      </c>
      <c r="E200" s="328">
        <v>4</v>
      </c>
      <c r="F200" s="328">
        <v>0</v>
      </c>
      <c r="G200" s="328">
        <v>45</v>
      </c>
      <c r="H200" s="328">
        <v>2461.3000000000002</v>
      </c>
      <c r="I200" s="328">
        <v>1.1000000000000001</v>
      </c>
    </row>
    <row r="201" spans="1:9" x14ac:dyDescent="0.35">
      <c r="A201" s="286">
        <v>623</v>
      </c>
      <c r="B201" s="286" t="s">
        <v>253</v>
      </c>
      <c r="C201" s="326">
        <v>10</v>
      </c>
      <c r="D201" s="328">
        <v>2197</v>
      </c>
      <c r="E201" s="328">
        <v>4</v>
      </c>
      <c r="F201" s="328">
        <v>0</v>
      </c>
      <c r="G201" s="328">
        <v>47</v>
      </c>
      <c r="H201" s="328">
        <v>794.18</v>
      </c>
      <c r="I201" s="328">
        <v>2.8</v>
      </c>
    </row>
    <row r="202" spans="1:9" x14ac:dyDescent="0.35">
      <c r="A202" s="286">
        <v>624</v>
      </c>
      <c r="B202" s="286" t="s">
        <v>254</v>
      </c>
      <c r="C202" s="326">
        <v>8</v>
      </c>
      <c r="D202" s="328">
        <v>5187</v>
      </c>
      <c r="E202" s="328">
        <v>385</v>
      </c>
      <c r="F202" s="328">
        <v>0</v>
      </c>
      <c r="G202" s="328">
        <v>178</v>
      </c>
      <c r="H202" s="328">
        <v>324.75</v>
      </c>
      <c r="I202" s="328">
        <v>16</v>
      </c>
    </row>
    <row r="203" spans="1:9" x14ac:dyDescent="0.35">
      <c r="A203" s="286">
        <v>625</v>
      </c>
      <c r="B203" s="286" t="s">
        <v>255</v>
      </c>
      <c r="C203" s="326">
        <v>17</v>
      </c>
      <c r="D203" s="328">
        <v>3146</v>
      </c>
      <c r="E203" s="328">
        <v>11</v>
      </c>
      <c r="F203" s="328">
        <v>0</v>
      </c>
      <c r="G203" s="328">
        <v>56</v>
      </c>
      <c r="H203" s="328">
        <v>543.01</v>
      </c>
      <c r="I203" s="328">
        <v>5.8</v>
      </c>
    </row>
    <row r="204" spans="1:9" x14ac:dyDescent="0.35">
      <c r="A204" s="286">
        <v>626</v>
      </c>
      <c r="B204" s="286" t="s">
        <v>256</v>
      </c>
      <c r="C204" s="326">
        <v>17</v>
      </c>
      <c r="D204" s="328">
        <v>5248</v>
      </c>
      <c r="E204" s="328">
        <v>12</v>
      </c>
      <c r="F204" s="328">
        <v>0</v>
      </c>
      <c r="G204" s="328">
        <v>61</v>
      </c>
      <c r="H204" s="328">
        <v>1310.8</v>
      </c>
      <c r="I204" s="328">
        <v>4</v>
      </c>
    </row>
    <row r="205" spans="1:9" x14ac:dyDescent="0.35">
      <c r="A205" s="286">
        <v>630</v>
      </c>
      <c r="B205" s="286" t="s">
        <v>257</v>
      </c>
      <c r="C205" s="326">
        <v>17</v>
      </c>
      <c r="D205" s="328">
        <v>1557</v>
      </c>
      <c r="E205" s="328">
        <v>0</v>
      </c>
      <c r="F205" s="328">
        <v>0</v>
      </c>
      <c r="G205" s="328">
        <v>23</v>
      </c>
      <c r="H205" s="328">
        <v>810.67</v>
      </c>
      <c r="I205" s="328">
        <v>1.9</v>
      </c>
    </row>
    <row r="206" spans="1:9" x14ac:dyDescent="0.35">
      <c r="A206" s="286">
        <v>631</v>
      </c>
      <c r="B206" s="286" t="s">
        <v>258</v>
      </c>
      <c r="C206" s="326">
        <v>2</v>
      </c>
      <c r="D206" s="328">
        <v>2028</v>
      </c>
      <c r="E206" s="328">
        <v>6</v>
      </c>
      <c r="F206" s="328">
        <v>0</v>
      </c>
      <c r="G206" s="328">
        <v>34</v>
      </c>
      <c r="H206" s="328">
        <v>143.49</v>
      </c>
      <c r="I206" s="328">
        <v>14.1</v>
      </c>
    </row>
    <row r="207" spans="1:9" x14ac:dyDescent="0.35">
      <c r="A207" s="286">
        <v>635</v>
      </c>
      <c r="B207" s="286" t="s">
        <v>259</v>
      </c>
      <c r="C207" s="326">
        <v>6</v>
      </c>
      <c r="D207" s="328">
        <v>6499</v>
      </c>
      <c r="E207" s="328">
        <v>26</v>
      </c>
      <c r="F207" s="328">
        <v>0</v>
      </c>
      <c r="G207" s="328">
        <v>161</v>
      </c>
      <c r="H207" s="328">
        <v>560.6</v>
      </c>
      <c r="I207" s="328">
        <v>11.6</v>
      </c>
    </row>
    <row r="208" spans="1:9" x14ac:dyDescent="0.35">
      <c r="A208" s="286">
        <v>636</v>
      </c>
      <c r="B208" s="286" t="s">
        <v>260</v>
      </c>
      <c r="C208" s="326">
        <v>2</v>
      </c>
      <c r="D208" s="328">
        <v>8333</v>
      </c>
      <c r="E208" s="328">
        <v>49</v>
      </c>
      <c r="F208" s="328">
        <v>2</v>
      </c>
      <c r="G208" s="328">
        <v>281</v>
      </c>
      <c r="H208" s="328">
        <v>750.07</v>
      </c>
      <c r="I208" s="328">
        <v>11.1</v>
      </c>
    </row>
    <row r="209" spans="1:9" x14ac:dyDescent="0.35">
      <c r="A209" s="286">
        <v>638</v>
      </c>
      <c r="B209" s="286" t="s">
        <v>261</v>
      </c>
      <c r="C209" s="326">
        <v>34</v>
      </c>
      <c r="D209" s="328">
        <v>50262</v>
      </c>
      <c r="E209" s="328">
        <v>14672</v>
      </c>
      <c r="F209" s="328">
        <v>0</v>
      </c>
      <c r="G209" s="328">
        <v>3422</v>
      </c>
      <c r="H209" s="328">
        <v>654.41999999999996</v>
      </c>
      <c r="I209" s="328">
        <v>76.8</v>
      </c>
    </row>
    <row r="210" spans="1:9" x14ac:dyDescent="0.35">
      <c r="A210" s="286">
        <v>678</v>
      </c>
      <c r="B210" s="286" t="s">
        <v>262</v>
      </c>
      <c r="C210" s="326">
        <v>17</v>
      </c>
      <c r="D210" s="328">
        <v>24811</v>
      </c>
      <c r="E210" s="328">
        <v>13</v>
      </c>
      <c r="F210" s="328">
        <v>2</v>
      </c>
      <c r="G210" s="328">
        <v>698</v>
      </c>
      <c r="H210" s="328">
        <v>1014.38</v>
      </c>
      <c r="I210" s="328">
        <v>24.5</v>
      </c>
    </row>
    <row r="211" spans="1:9" x14ac:dyDescent="0.35">
      <c r="A211" s="286">
        <v>680</v>
      </c>
      <c r="B211" s="286" t="s">
        <v>263</v>
      </c>
      <c r="C211" s="326">
        <v>2</v>
      </c>
      <c r="D211" s="328">
        <v>24178</v>
      </c>
      <c r="E211" s="328">
        <v>342</v>
      </c>
      <c r="F211" s="328">
        <v>0</v>
      </c>
      <c r="G211" s="328">
        <v>1867</v>
      </c>
      <c r="H211" s="328">
        <v>48.76</v>
      </c>
      <c r="I211" s="328">
        <v>495.9</v>
      </c>
    </row>
    <row r="212" spans="1:9" x14ac:dyDescent="0.35">
      <c r="A212" s="286">
        <v>681</v>
      </c>
      <c r="B212" s="286" t="s">
        <v>264</v>
      </c>
      <c r="C212" s="326">
        <v>10</v>
      </c>
      <c r="D212" s="328">
        <v>3514</v>
      </c>
      <c r="E212" s="328">
        <v>6</v>
      </c>
      <c r="F212" s="328">
        <v>0</v>
      </c>
      <c r="G212" s="328">
        <v>104</v>
      </c>
      <c r="H212" s="328">
        <v>559.20000000000005</v>
      </c>
      <c r="I212" s="328">
        <v>6.3</v>
      </c>
    </row>
    <row r="213" spans="1:9" x14ac:dyDescent="0.35">
      <c r="A213" s="286">
        <v>683</v>
      </c>
      <c r="B213" s="286" t="s">
        <v>265</v>
      </c>
      <c r="C213" s="326">
        <v>19</v>
      </c>
      <c r="D213" s="328">
        <v>3896</v>
      </c>
      <c r="E213" s="328">
        <v>1</v>
      </c>
      <c r="F213" s="328">
        <v>0</v>
      </c>
      <c r="G213" s="328">
        <v>37</v>
      </c>
      <c r="H213" s="328">
        <v>3453.62</v>
      </c>
      <c r="I213" s="328">
        <v>1.1000000000000001</v>
      </c>
    </row>
    <row r="214" spans="1:9" x14ac:dyDescent="0.35">
      <c r="A214" s="286">
        <v>684</v>
      </c>
      <c r="B214" s="286" t="s">
        <v>266</v>
      </c>
      <c r="C214" s="326">
        <v>4</v>
      </c>
      <c r="D214" s="328">
        <v>39360</v>
      </c>
      <c r="E214" s="328">
        <v>118</v>
      </c>
      <c r="F214" s="328">
        <v>2</v>
      </c>
      <c r="G214" s="328">
        <v>2222</v>
      </c>
      <c r="H214" s="328">
        <v>495.83</v>
      </c>
      <c r="I214" s="328">
        <v>79.400000000000006</v>
      </c>
    </row>
    <row r="215" spans="1:9" x14ac:dyDescent="0.35">
      <c r="A215" s="286">
        <v>686</v>
      </c>
      <c r="B215" s="286" t="s">
        <v>267</v>
      </c>
      <c r="C215" s="326">
        <v>11</v>
      </c>
      <c r="D215" s="328">
        <v>3196</v>
      </c>
      <c r="E215" s="328">
        <v>3</v>
      </c>
      <c r="F215" s="328">
        <v>0</v>
      </c>
      <c r="G215" s="328">
        <v>97</v>
      </c>
      <c r="H215" s="328">
        <v>538.96</v>
      </c>
      <c r="I215" s="328">
        <v>5.9</v>
      </c>
    </row>
    <row r="216" spans="1:9" x14ac:dyDescent="0.35">
      <c r="A216" s="286">
        <v>687</v>
      </c>
      <c r="B216" s="286" t="s">
        <v>268</v>
      </c>
      <c r="C216" s="326">
        <v>11</v>
      </c>
      <c r="D216" s="328">
        <v>1651</v>
      </c>
      <c r="E216" s="328">
        <v>1</v>
      </c>
      <c r="F216" s="328">
        <v>0</v>
      </c>
      <c r="G216" s="328">
        <v>18</v>
      </c>
      <c r="H216" s="328">
        <v>1150.95</v>
      </c>
      <c r="I216" s="328">
        <v>1.4</v>
      </c>
    </row>
    <row r="217" spans="1:9" x14ac:dyDescent="0.35">
      <c r="A217" s="286">
        <v>689</v>
      </c>
      <c r="B217" s="286" t="s">
        <v>269</v>
      </c>
      <c r="C217" s="326">
        <v>9</v>
      </c>
      <c r="D217" s="328">
        <v>3335</v>
      </c>
      <c r="E217" s="328">
        <v>3</v>
      </c>
      <c r="F217" s="328">
        <v>0</v>
      </c>
      <c r="G217" s="328">
        <v>86</v>
      </c>
      <c r="H217" s="328">
        <v>351.51</v>
      </c>
      <c r="I217" s="328">
        <v>9.5</v>
      </c>
    </row>
    <row r="218" spans="1:9" x14ac:dyDescent="0.35">
      <c r="A218" s="286">
        <v>691</v>
      </c>
      <c r="B218" s="286" t="s">
        <v>270</v>
      </c>
      <c r="C218" s="326">
        <v>17</v>
      </c>
      <c r="D218" s="328">
        <v>2743</v>
      </c>
      <c r="E218" s="328">
        <v>3</v>
      </c>
      <c r="F218" s="328">
        <v>0</v>
      </c>
      <c r="G218" s="328">
        <v>9</v>
      </c>
      <c r="H218" s="328">
        <v>474.45</v>
      </c>
      <c r="I218" s="328">
        <v>5.8</v>
      </c>
    </row>
    <row r="219" spans="1:9" x14ac:dyDescent="0.35">
      <c r="A219" s="286">
        <v>694</v>
      </c>
      <c r="B219" s="286" t="s">
        <v>271</v>
      </c>
      <c r="C219" s="326">
        <v>5</v>
      </c>
      <c r="D219" s="328">
        <v>28736</v>
      </c>
      <c r="E219" s="328">
        <v>114</v>
      </c>
      <c r="F219" s="328">
        <v>0</v>
      </c>
      <c r="G219" s="328">
        <v>1433</v>
      </c>
      <c r="H219" s="328">
        <v>121.01</v>
      </c>
      <c r="I219" s="328">
        <v>237.5</v>
      </c>
    </row>
    <row r="220" spans="1:9" x14ac:dyDescent="0.35">
      <c r="A220" s="286">
        <v>697</v>
      </c>
      <c r="B220" s="286" t="s">
        <v>272</v>
      </c>
      <c r="C220" s="326">
        <v>18</v>
      </c>
      <c r="D220" s="328">
        <v>1288</v>
      </c>
      <c r="E220" s="328">
        <v>0</v>
      </c>
      <c r="F220" s="328">
        <v>0</v>
      </c>
      <c r="G220" s="328">
        <v>11</v>
      </c>
      <c r="H220" s="328">
        <v>835.64</v>
      </c>
      <c r="I220" s="328">
        <v>1.5</v>
      </c>
    </row>
    <row r="221" spans="1:9" x14ac:dyDescent="0.35">
      <c r="A221" s="286">
        <v>698</v>
      </c>
      <c r="B221" s="286" t="s">
        <v>273</v>
      </c>
      <c r="C221" s="326">
        <v>19</v>
      </c>
      <c r="D221" s="328">
        <v>62922</v>
      </c>
      <c r="E221" s="328">
        <v>128</v>
      </c>
      <c r="F221" s="328">
        <v>168</v>
      </c>
      <c r="G221" s="328">
        <v>2102</v>
      </c>
      <c r="H221" s="328">
        <v>7581.51</v>
      </c>
      <c r="I221" s="328">
        <v>8.3000000000000007</v>
      </c>
    </row>
    <row r="222" spans="1:9" x14ac:dyDescent="0.35">
      <c r="A222" s="286">
        <v>700</v>
      </c>
      <c r="B222" s="286" t="s">
        <v>274</v>
      </c>
      <c r="C222" s="326">
        <v>9</v>
      </c>
      <c r="D222" s="328">
        <v>5099</v>
      </c>
      <c r="E222" s="328">
        <v>10</v>
      </c>
      <c r="F222" s="328">
        <v>0</v>
      </c>
      <c r="G222" s="328">
        <v>151</v>
      </c>
      <c r="H222" s="328">
        <v>942.27</v>
      </c>
      <c r="I222" s="328">
        <v>5.4</v>
      </c>
    </row>
    <row r="223" spans="1:9" x14ac:dyDescent="0.35">
      <c r="A223" s="286">
        <v>702</v>
      </c>
      <c r="B223" s="286" t="s">
        <v>275</v>
      </c>
      <c r="C223" s="326">
        <v>6</v>
      </c>
      <c r="D223" s="328">
        <v>4398</v>
      </c>
      <c r="E223" s="328">
        <v>12</v>
      </c>
      <c r="F223" s="328">
        <v>1</v>
      </c>
      <c r="G223" s="328">
        <v>65</v>
      </c>
      <c r="H223" s="328">
        <v>776.98</v>
      </c>
      <c r="I223" s="328">
        <v>5.7</v>
      </c>
    </row>
    <row r="224" spans="1:9" x14ac:dyDescent="0.35">
      <c r="A224" s="286">
        <v>704</v>
      </c>
      <c r="B224" s="286" t="s">
        <v>276</v>
      </c>
      <c r="C224" s="326">
        <v>2</v>
      </c>
      <c r="D224" s="328">
        <v>6251</v>
      </c>
      <c r="E224" s="328">
        <v>102</v>
      </c>
      <c r="F224" s="328">
        <v>0</v>
      </c>
      <c r="G224" s="328">
        <v>133</v>
      </c>
      <c r="H224" s="328">
        <v>127.15</v>
      </c>
      <c r="I224" s="328">
        <v>49.2</v>
      </c>
    </row>
    <row r="225" spans="1:9" x14ac:dyDescent="0.35">
      <c r="A225" s="286">
        <v>707</v>
      </c>
      <c r="B225" s="286" t="s">
        <v>277</v>
      </c>
      <c r="C225" s="326">
        <v>12</v>
      </c>
      <c r="D225" s="328">
        <v>2181</v>
      </c>
      <c r="E225" s="328">
        <v>3</v>
      </c>
      <c r="F225" s="328">
        <v>0</v>
      </c>
      <c r="G225" s="328">
        <v>72</v>
      </c>
      <c r="H225" s="328">
        <v>427.61</v>
      </c>
      <c r="I225" s="328">
        <v>5.0999999999999996</v>
      </c>
    </row>
    <row r="226" spans="1:9" x14ac:dyDescent="0.35">
      <c r="A226" s="286">
        <v>710</v>
      </c>
      <c r="B226" s="286" t="s">
        <v>278</v>
      </c>
      <c r="C226" s="326">
        <v>33</v>
      </c>
      <c r="D226" s="328">
        <v>27592</v>
      </c>
      <c r="E226" s="328">
        <v>17832</v>
      </c>
      <c r="F226" s="328">
        <v>1</v>
      </c>
      <c r="G226" s="328">
        <v>1242</v>
      </c>
      <c r="H226" s="328">
        <v>1148.27</v>
      </c>
      <c r="I226" s="328">
        <v>24</v>
      </c>
    </row>
    <row r="227" spans="1:9" x14ac:dyDescent="0.35">
      <c r="A227" s="286">
        <v>729</v>
      </c>
      <c r="B227" s="286" t="s">
        <v>279</v>
      </c>
      <c r="C227" s="326">
        <v>13</v>
      </c>
      <c r="D227" s="328">
        <v>9415</v>
      </c>
      <c r="E227" s="328">
        <v>14</v>
      </c>
      <c r="F227" s="328">
        <v>0</v>
      </c>
      <c r="G227" s="328">
        <v>110</v>
      </c>
      <c r="H227" s="328">
        <v>1251.72</v>
      </c>
      <c r="I227" s="328">
        <v>7.5</v>
      </c>
    </row>
    <row r="228" spans="1:9" x14ac:dyDescent="0.35">
      <c r="A228" s="286">
        <v>732</v>
      </c>
      <c r="B228" s="286" t="s">
        <v>280</v>
      </c>
      <c r="C228" s="326">
        <v>19</v>
      </c>
      <c r="D228" s="328">
        <v>3491</v>
      </c>
      <c r="E228" s="328">
        <v>11</v>
      </c>
      <c r="F228" s="328">
        <v>4</v>
      </c>
      <c r="G228" s="328">
        <v>77</v>
      </c>
      <c r="H228" s="328">
        <v>5729.66</v>
      </c>
      <c r="I228" s="328">
        <v>0.6</v>
      </c>
    </row>
    <row r="229" spans="1:9" x14ac:dyDescent="0.35">
      <c r="A229" s="286">
        <v>734</v>
      </c>
      <c r="B229" s="286" t="s">
        <v>281</v>
      </c>
      <c r="C229" s="326">
        <v>2</v>
      </c>
      <c r="D229" s="328">
        <v>52321</v>
      </c>
      <c r="E229" s="328">
        <v>588</v>
      </c>
      <c r="F229" s="328">
        <v>1</v>
      </c>
      <c r="G229" s="328">
        <v>3169</v>
      </c>
      <c r="H229" s="328">
        <v>1986.6</v>
      </c>
      <c r="I229" s="328">
        <v>26.3</v>
      </c>
    </row>
    <row r="230" spans="1:9" x14ac:dyDescent="0.35">
      <c r="A230" s="286">
        <v>738</v>
      </c>
      <c r="B230" s="286" t="s">
        <v>282</v>
      </c>
      <c r="C230" s="326">
        <v>2</v>
      </c>
      <c r="D230" s="328">
        <v>2994</v>
      </c>
      <c r="E230" s="328">
        <v>74</v>
      </c>
      <c r="F230" s="328">
        <v>0</v>
      </c>
      <c r="G230" s="328">
        <v>87</v>
      </c>
      <c r="H230" s="328">
        <v>252.61</v>
      </c>
      <c r="I230" s="328">
        <v>11.9</v>
      </c>
    </row>
    <row r="231" spans="1:9" x14ac:dyDescent="0.35">
      <c r="A231" s="286">
        <v>739</v>
      </c>
      <c r="B231" s="286" t="s">
        <v>283</v>
      </c>
      <c r="C231" s="326">
        <v>9</v>
      </c>
      <c r="D231" s="328">
        <v>3429</v>
      </c>
      <c r="E231" s="328">
        <v>5</v>
      </c>
      <c r="F231" s="328">
        <v>0</v>
      </c>
      <c r="G231" s="328">
        <v>44</v>
      </c>
      <c r="H231" s="328">
        <v>539.17999999999995</v>
      </c>
      <c r="I231" s="328">
        <v>6.4</v>
      </c>
    </row>
    <row r="232" spans="1:9" x14ac:dyDescent="0.35">
      <c r="A232" s="286">
        <v>740</v>
      </c>
      <c r="B232" s="286" t="s">
        <v>284</v>
      </c>
      <c r="C232" s="326">
        <v>10</v>
      </c>
      <c r="D232" s="328">
        <v>33611</v>
      </c>
      <c r="E232" s="328">
        <v>42</v>
      </c>
      <c r="F232" s="328">
        <v>0</v>
      </c>
      <c r="G232" s="328">
        <v>1225</v>
      </c>
      <c r="H232" s="328">
        <v>2238.09</v>
      </c>
      <c r="I232" s="328">
        <v>15</v>
      </c>
    </row>
    <row r="233" spans="1:9" x14ac:dyDescent="0.35">
      <c r="A233" s="286">
        <v>742</v>
      </c>
      <c r="B233" s="286" t="s">
        <v>285</v>
      </c>
      <c r="C233" s="326">
        <v>19</v>
      </c>
      <c r="D233" s="328">
        <v>1015</v>
      </c>
      <c r="E233" s="328">
        <v>2</v>
      </c>
      <c r="F233" s="328">
        <v>3</v>
      </c>
      <c r="G233" s="328">
        <v>5</v>
      </c>
      <c r="H233" s="328">
        <v>6439.2</v>
      </c>
      <c r="I233" s="328">
        <v>0.2</v>
      </c>
    </row>
    <row r="234" spans="1:9" x14ac:dyDescent="0.35">
      <c r="A234" s="286">
        <v>743</v>
      </c>
      <c r="B234" s="286" t="s">
        <v>286</v>
      </c>
      <c r="C234" s="326">
        <v>14</v>
      </c>
      <c r="D234" s="328">
        <v>63288</v>
      </c>
      <c r="E234" s="328">
        <v>132</v>
      </c>
      <c r="F234" s="328">
        <v>4</v>
      </c>
      <c r="G234" s="328">
        <v>1572</v>
      </c>
      <c r="H234" s="328">
        <v>1431.78</v>
      </c>
      <c r="I234" s="328">
        <v>44.2</v>
      </c>
    </row>
    <row r="235" spans="1:9" x14ac:dyDescent="0.35">
      <c r="A235" s="286">
        <v>746</v>
      </c>
      <c r="B235" s="286" t="s">
        <v>287</v>
      </c>
      <c r="C235" s="326">
        <v>17</v>
      </c>
      <c r="D235" s="328">
        <v>4980</v>
      </c>
      <c r="E235" s="328">
        <v>9</v>
      </c>
      <c r="F235" s="328">
        <v>1</v>
      </c>
      <c r="G235" s="328">
        <v>80</v>
      </c>
      <c r="H235" s="328">
        <v>787.14</v>
      </c>
      <c r="I235" s="328">
        <v>6.3</v>
      </c>
    </row>
    <row r="236" spans="1:9" x14ac:dyDescent="0.35">
      <c r="A236" s="286">
        <v>747</v>
      </c>
      <c r="B236" s="286" t="s">
        <v>288</v>
      </c>
      <c r="C236" s="326">
        <v>4</v>
      </c>
      <c r="D236" s="328">
        <v>1458</v>
      </c>
      <c r="E236" s="328">
        <v>3</v>
      </c>
      <c r="F236" s="328">
        <v>0</v>
      </c>
      <c r="G236" s="328">
        <v>18</v>
      </c>
      <c r="H236" s="328">
        <v>463.31</v>
      </c>
      <c r="I236" s="328">
        <v>3.1</v>
      </c>
    </row>
    <row r="237" spans="1:9" x14ac:dyDescent="0.35">
      <c r="A237" s="286">
        <v>748</v>
      </c>
      <c r="B237" s="286" t="s">
        <v>289</v>
      </c>
      <c r="C237" s="326">
        <v>17</v>
      </c>
      <c r="D237" s="328">
        <v>5249</v>
      </c>
      <c r="E237" s="328">
        <v>3</v>
      </c>
      <c r="F237" s="328">
        <v>0</v>
      </c>
      <c r="G237" s="328">
        <v>87</v>
      </c>
      <c r="H237" s="328">
        <v>1051.6099999999999</v>
      </c>
      <c r="I237" s="328">
        <v>5</v>
      </c>
    </row>
    <row r="238" spans="1:9" x14ac:dyDescent="0.35">
      <c r="A238" s="286">
        <v>749</v>
      </c>
      <c r="B238" s="286" t="s">
        <v>290</v>
      </c>
      <c r="C238" s="326">
        <v>11</v>
      </c>
      <c r="D238" s="328">
        <v>21674</v>
      </c>
      <c r="E238" s="328">
        <v>10</v>
      </c>
      <c r="F238" s="328">
        <v>1</v>
      </c>
      <c r="G238" s="328">
        <v>284</v>
      </c>
      <c r="H238" s="328">
        <v>400.96</v>
      </c>
      <c r="I238" s="328">
        <v>54.1</v>
      </c>
    </row>
    <row r="239" spans="1:9" x14ac:dyDescent="0.35">
      <c r="A239" s="286">
        <v>751</v>
      </c>
      <c r="B239" s="286" t="s">
        <v>291</v>
      </c>
      <c r="C239" s="326">
        <v>19</v>
      </c>
      <c r="D239" s="328">
        <v>3045</v>
      </c>
      <c r="E239" s="328">
        <v>4</v>
      </c>
      <c r="F239" s="328">
        <v>0</v>
      </c>
      <c r="G239" s="328">
        <v>27</v>
      </c>
      <c r="H239" s="328">
        <v>1447.34</v>
      </c>
      <c r="I239" s="328">
        <v>2.1</v>
      </c>
    </row>
    <row r="240" spans="1:9" x14ac:dyDescent="0.35">
      <c r="A240" s="286">
        <v>753</v>
      </c>
      <c r="B240" s="286" t="s">
        <v>292</v>
      </c>
      <c r="C240" s="326">
        <v>34</v>
      </c>
      <c r="D240" s="328">
        <v>20666</v>
      </c>
      <c r="E240" s="328">
        <v>6611</v>
      </c>
      <c r="F240" s="328">
        <v>3</v>
      </c>
      <c r="G240" s="328">
        <v>1007</v>
      </c>
      <c r="H240" s="328">
        <v>339.62</v>
      </c>
      <c r="I240" s="328">
        <v>60.9</v>
      </c>
    </row>
    <row r="241" spans="1:9" x14ac:dyDescent="0.35">
      <c r="A241" s="286">
        <v>755</v>
      </c>
      <c r="B241" s="286" t="s">
        <v>293</v>
      </c>
      <c r="C241" s="326">
        <v>33</v>
      </c>
      <c r="D241" s="328">
        <v>6134</v>
      </c>
      <c r="E241" s="328">
        <v>1729</v>
      </c>
      <c r="F241" s="328">
        <v>0</v>
      </c>
      <c r="G241" s="328">
        <v>319</v>
      </c>
      <c r="H241" s="328">
        <v>241.1</v>
      </c>
      <c r="I241" s="328">
        <v>25.4</v>
      </c>
    </row>
    <row r="242" spans="1:9" x14ac:dyDescent="0.35">
      <c r="A242" s="286">
        <v>758</v>
      </c>
      <c r="B242" s="286" t="s">
        <v>294</v>
      </c>
      <c r="C242" s="326">
        <v>19</v>
      </c>
      <c r="D242" s="328">
        <v>8444</v>
      </c>
      <c r="E242" s="328">
        <v>15</v>
      </c>
      <c r="F242" s="328">
        <v>136</v>
      </c>
      <c r="G242" s="328">
        <v>122</v>
      </c>
      <c r="H242" s="328">
        <v>11691.64</v>
      </c>
      <c r="I242" s="328">
        <v>0.7</v>
      </c>
    </row>
    <row r="243" spans="1:9" x14ac:dyDescent="0.35">
      <c r="A243" s="286">
        <v>759</v>
      </c>
      <c r="B243" s="286" t="s">
        <v>295</v>
      </c>
      <c r="C243" s="326">
        <v>14</v>
      </c>
      <c r="D243" s="328">
        <v>2085</v>
      </c>
      <c r="E243" s="328">
        <v>4</v>
      </c>
      <c r="F243" s="328">
        <v>0</v>
      </c>
      <c r="G243" s="328">
        <v>14</v>
      </c>
      <c r="H243" s="328">
        <v>551.95000000000005</v>
      </c>
      <c r="I243" s="328">
        <v>3.8</v>
      </c>
    </row>
    <row r="244" spans="1:9" x14ac:dyDescent="0.35">
      <c r="A244" s="286">
        <v>761</v>
      </c>
      <c r="B244" s="286" t="s">
        <v>296</v>
      </c>
      <c r="C244" s="326">
        <v>2</v>
      </c>
      <c r="D244" s="328">
        <v>8828</v>
      </c>
      <c r="E244" s="328">
        <v>50</v>
      </c>
      <c r="F244" s="328">
        <v>0</v>
      </c>
      <c r="G244" s="328">
        <v>266</v>
      </c>
      <c r="H244" s="328">
        <v>667.81</v>
      </c>
      <c r="I244" s="328">
        <v>13.2</v>
      </c>
    </row>
    <row r="245" spans="1:9" x14ac:dyDescent="0.35">
      <c r="A245" s="286">
        <v>762</v>
      </c>
      <c r="B245" s="286" t="s">
        <v>297</v>
      </c>
      <c r="C245" s="326">
        <v>11</v>
      </c>
      <c r="D245" s="328">
        <v>3967</v>
      </c>
      <c r="E245" s="328">
        <v>3</v>
      </c>
      <c r="F245" s="328">
        <v>0</v>
      </c>
      <c r="G245" s="328">
        <v>36</v>
      </c>
      <c r="H245" s="328">
        <v>1465.92</v>
      </c>
      <c r="I245" s="328">
        <v>2.7</v>
      </c>
    </row>
    <row r="246" spans="1:9" x14ac:dyDescent="0.35">
      <c r="A246" s="286">
        <v>765</v>
      </c>
      <c r="B246" s="286" t="s">
        <v>298</v>
      </c>
      <c r="C246" s="326">
        <v>18</v>
      </c>
      <c r="D246" s="328">
        <v>10389</v>
      </c>
      <c r="E246" s="328">
        <v>17</v>
      </c>
      <c r="F246" s="328">
        <v>0</v>
      </c>
      <c r="G246" s="328">
        <v>276</v>
      </c>
      <c r="H246" s="328">
        <v>2648.8</v>
      </c>
      <c r="I246" s="328">
        <v>3.9</v>
      </c>
    </row>
    <row r="247" spans="1:9" x14ac:dyDescent="0.35">
      <c r="A247" s="286">
        <v>768</v>
      </c>
      <c r="B247" s="286" t="s">
        <v>299</v>
      </c>
      <c r="C247" s="326">
        <v>10</v>
      </c>
      <c r="D247" s="328">
        <v>2530</v>
      </c>
      <c r="E247" s="328">
        <v>4</v>
      </c>
      <c r="F247" s="328">
        <v>0</v>
      </c>
      <c r="G247" s="328">
        <v>63</v>
      </c>
      <c r="H247" s="328">
        <v>584.53</v>
      </c>
      <c r="I247" s="328">
        <v>4.3</v>
      </c>
    </row>
    <row r="248" spans="1:9" x14ac:dyDescent="0.35">
      <c r="A248" s="286">
        <v>777</v>
      </c>
      <c r="B248" s="286" t="s">
        <v>300</v>
      </c>
      <c r="C248" s="326">
        <v>18</v>
      </c>
      <c r="D248" s="328">
        <v>7862</v>
      </c>
      <c r="E248" s="328">
        <v>7</v>
      </c>
      <c r="F248" s="328">
        <v>0</v>
      </c>
      <c r="G248" s="328">
        <v>171</v>
      </c>
      <c r="H248" s="328">
        <v>5270.58</v>
      </c>
      <c r="I248" s="328">
        <v>1.5</v>
      </c>
    </row>
    <row r="249" spans="1:9" x14ac:dyDescent="0.35">
      <c r="A249" s="286">
        <v>778</v>
      </c>
      <c r="B249" s="286" t="s">
        <v>301</v>
      </c>
      <c r="C249" s="326">
        <v>11</v>
      </c>
      <c r="D249" s="328">
        <v>7145</v>
      </c>
      <c r="E249" s="328">
        <v>3</v>
      </c>
      <c r="F249" s="328">
        <v>0</v>
      </c>
      <c r="G249" s="328">
        <v>169</v>
      </c>
      <c r="H249" s="328">
        <v>713.54</v>
      </c>
      <c r="I249" s="328">
        <v>10</v>
      </c>
    </row>
    <row r="250" spans="1:9" x14ac:dyDescent="0.35">
      <c r="A250" s="286">
        <v>781</v>
      </c>
      <c r="B250" s="286" t="s">
        <v>302</v>
      </c>
      <c r="C250" s="326">
        <v>7</v>
      </c>
      <c r="D250" s="328">
        <v>3753</v>
      </c>
      <c r="E250" s="328">
        <v>6</v>
      </c>
      <c r="F250" s="328">
        <v>1</v>
      </c>
      <c r="G250" s="328">
        <v>61</v>
      </c>
      <c r="H250" s="328">
        <v>666.3</v>
      </c>
      <c r="I250" s="328">
        <v>5.6</v>
      </c>
    </row>
    <row r="251" spans="1:9" x14ac:dyDescent="0.35">
      <c r="A251" s="286">
        <v>783</v>
      </c>
      <c r="B251" s="286" t="s">
        <v>303</v>
      </c>
      <c r="C251" s="326">
        <v>4</v>
      </c>
      <c r="D251" s="328">
        <v>6811</v>
      </c>
      <c r="E251" s="328">
        <v>12</v>
      </c>
      <c r="F251" s="328">
        <v>0</v>
      </c>
      <c r="G251" s="328">
        <v>129</v>
      </c>
      <c r="H251" s="328">
        <v>406.75</v>
      </c>
      <c r="I251" s="328">
        <v>16.7</v>
      </c>
    </row>
    <row r="252" spans="1:9" x14ac:dyDescent="0.35">
      <c r="A252" s="286">
        <v>785</v>
      </c>
      <c r="B252" s="286" t="s">
        <v>304</v>
      </c>
      <c r="C252" s="326">
        <v>17</v>
      </c>
      <c r="D252" s="328">
        <v>2869</v>
      </c>
      <c r="E252" s="328">
        <v>1</v>
      </c>
      <c r="F252" s="328">
        <v>0</v>
      </c>
      <c r="G252" s="328">
        <v>26</v>
      </c>
      <c r="H252" s="328">
        <v>1302.72</v>
      </c>
      <c r="I252" s="328">
        <v>2.2000000000000002</v>
      </c>
    </row>
    <row r="253" spans="1:9" x14ac:dyDescent="0.35">
      <c r="A253" s="286">
        <v>790</v>
      </c>
      <c r="B253" s="286" t="s">
        <v>305</v>
      </c>
      <c r="C253" s="326">
        <v>6</v>
      </c>
      <c r="D253" s="328">
        <v>24651</v>
      </c>
      <c r="E253" s="328">
        <v>35</v>
      </c>
      <c r="F253" s="328">
        <v>0</v>
      </c>
      <c r="G253" s="328">
        <v>658</v>
      </c>
      <c r="H253" s="328">
        <v>1429.04</v>
      </c>
      <c r="I253" s="328">
        <v>17.3</v>
      </c>
    </row>
    <row r="254" spans="1:9" x14ac:dyDescent="0.35">
      <c r="A254" s="286">
        <v>791</v>
      </c>
      <c r="B254" s="286" t="s">
        <v>306</v>
      </c>
      <c r="C254" s="326">
        <v>17</v>
      </c>
      <c r="D254" s="328">
        <v>5301</v>
      </c>
      <c r="E254" s="328">
        <v>4</v>
      </c>
      <c r="F254" s="328">
        <v>0</v>
      </c>
      <c r="G254" s="328">
        <v>44</v>
      </c>
      <c r="H254" s="328">
        <v>2172.94</v>
      </c>
      <c r="I254" s="328">
        <v>2.4</v>
      </c>
    </row>
    <row r="255" spans="1:9" x14ac:dyDescent="0.35">
      <c r="A255" s="286">
        <v>831</v>
      </c>
      <c r="B255" s="286" t="s">
        <v>307</v>
      </c>
      <c r="C255" s="326">
        <v>9</v>
      </c>
      <c r="D255" s="328">
        <v>4715</v>
      </c>
      <c r="E255" s="328">
        <v>9</v>
      </c>
      <c r="F255" s="328">
        <v>0</v>
      </c>
      <c r="G255" s="328">
        <v>188</v>
      </c>
      <c r="H255" s="328">
        <v>344.84</v>
      </c>
      <c r="I255" s="328">
        <v>13.7</v>
      </c>
    </row>
    <row r="256" spans="1:9" x14ac:dyDescent="0.35">
      <c r="A256" s="286">
        <v>832</v>
      </c>
      <c r="B256" s="286" t="s">
        <v>308</v>
      </c>
      <c r="C256" s="326">
        <v>17</v>
      </c>
      <c r="D256" s="328">
        <v>4024</v>
      </c>
      <c r="E256" s="328">
        <v>1</v>
      </c>
      <c r="F256" s="328">
        <v>0</v>
      </c>
      <c r="G256" s="328">
        <v>60</v>
      </c>
      <c r="H256" s="328">
        <v>2437.85</v>
      </c>
      <c r="I256" s="328">
        <v>1.7</v>
      </c>
    </row>
    <row r="257" spans="1:9" x14ac:dyDescent="0.35">
      <c r="A257" s="286">
        <v>833</v>
      </c>
      <c r="B257" s="286" t="s">
        <v>309</v>
      </c>
      <c r="C257" s="326">
        <v>2</v>
      </c>
      <c r="D257" s="328">
        <v>1662</v>
      </c>
      <c r="E257" s="328">
        <v>10</v>
      </c>
      <c r="F257" s="328">
        <v>0</v>
      </c>
      <c r="G257" s="328">
        <v>76</v>
      </c>
      <c r="H257" s="328">
        <v>140.28</v>
      </c>
      <c r="I257" s="328">
        <v>11.8</v>
      </c>
    </row>
    <row r="258" spans="1:9" x14ac:dyDescent="0.35">
      <c r="A258" s="286">
        <v>834</v>
      </c>
      <c r="B258" s="286" t="s">
        <v>310</v>
      </c>
      <c r="C258" s="326">
        <v>5</v>
      </c>
      <c r="D258" s="328">
        <v>6081</v>
      </c>
      <c r="E258" s="328">
        <v>13</v>
      </c>
      <c r="F258" s="328">
        <v>0</v>
      </c>
      <c r="G258" s="328">
        <v>91</v>
      </c>
      <c r="H258" s="328">
        <v>640.53</v>
      </c>
      <c r="I258" s="328">
        <v>9.5</v>
      </c>
    </row>
    <row r="259" spans="1:9" x14ac:dyDescent="0.35">
      <c r="A259" s="286">
        <v>837</v>
      </c>
      <c r="B259" s="286" t="s">
        <v>311</v>
      </c>
      <c r="C259" s="326">
        <v>6</v>
      </c>
      <c r="D259" s="328">
        <v>235239</v>
      </c>
      <c r="E259" s="328">
        <v>1268</v>
      </c>
      <c r="F259" s="328">
        <v>13</v>
      </c>
      <c r="G259" s="328">
        <v>18030</v>
      </c>
      <c r="H259" s="328">
        <v>524.95000000000005</v>
      </c>
      <c r="I259" s="328">
        <v>448.1</v>
      </c>
    </row>
    <row r="260" spans="1:9" x14ac:dyDescent="0.35">
      <c r="A260" s="286">
        <v>844</v>
      </c>
      <c r="B260" s="286" t="s">
        <v>312</v>
      </c>
      <c r="C260" s="326">
        <v>11</v>
      </c>
      <c r="D260" s="328">
        <v>1567</v>
      </c>
      <c r="E260" s="328">
        <v>1</v>
      </c>
      <c r="F260" s="328">
        <v>0</v>
      </c>
      <c r="G260" s="328">
        <v>25</v>
      </c>
      <c r="H260" s="328">
        <v>347.75</v>
      </c>
      <c r="I260" s="328">
        <v>4.5</v>
      </c>
    </row>
    <row r="261" spans="1:9" x14ac:dyDescent="0.35">
      <c r="A261" s="286">
        <v>845</v>
      </c>
      <c r="B261" s="286" t="s">
        <v>313</v>
      </c>
      <c r="C261" s="326">
        <v>19</v>
      </c>
      <c r="D261" s="328">
        <v>3062</v>
      </c>
      <c r="E261" s="328">
        <v>9</v>
      </c>
      <c r="F261" s="328">
        <v>2</v>
      </c>
      <c r="G261" s="328">
        <v>54</v>
      </c>
      <c r="H261" s="328">
        <v>1559.74</v>
      </c>
      <c r="I261" s="328">
        <v>2</v>
      </c>
    </row>
    <row r="262" spans="1:9" x14ac:dyDescent="0.35">
      <c r="A262" s="286">
        <v>846</v>
      </c>
      <c r="B262" s="286" t="s">
        <v>314</v>
      </c>
      <c r="C262" s="326">
        <v>14</v>
      </c>
      <c r="D262" s="328">
        <v>5158</v>
      </c>
      <c r="E262" s="328">
        <v>38</v>
      </c>
      <c r="F262" s="328">
        <v>0</v>
      </c>
      <c r="G262" s="328">
        <v>60</v>
      </c>
      <c r="H262" s="328">
        <v>554.66999999999996</v>
      </c>
      <c r="I262" s="328">
        <v>9.3000000000000007</v>
      </c>
    </row>
    <row r="263" spans="1:9" x14ac:dyDescent="0.35">
      <c r="A263" s="286">
        <v>848</v>
      </c>
      <c r="B263" s="286" t="s">
        <v>315</v>
      </c>
      <c r="C263" s="326">
        <v>12</v>
      </c>
      <c r="D263" s="328">
        <v>4482</v>
      </c>
      <c r="E263" s="328">
        <v>1</v>
      </c>
      <c r="F263" s="328">
        <v>1</v>
      </c>
      <c r="G263" s="328">
        <v>214</v>
      </c>
      <c r="H263" s="328">
        <v>837.76</v>
      </c>
      <c r="I263" s="328">
        <v>5.3</v>
      </c>
    </row>
    <row r="264" spans="1:9" x14ac:dyDescent="0.35">
      <c r="A264" s="286">
        <v>849</v>
      </c>
      <c r="B264" s="286" t="s">
        <v>316</v>
      </c>
      <c r="C264" s="326">
        <v>16</v>
      </c>
      <c r="D264" s="328">
        <v>3112</v>
      </c>
      <c r="E264" s="328">
        <v>3</v>
      </c>
      <c r="F264" s="328">
        <v>0</v>
      </c>
      <c r="G264" s="328">
        <v>35</v>
      </c>
      <c r="H264" s="328">
        <v>608.82000000000005</v>
      </c>
      <c r="I264" s="328">
        <v>5.0999999999999996</v>
      </c>
    </row>
    <row r="265" spans="1:9" x14ac:dyDescent="0.35">
      <c r="A265" s="286">
        <v>850</v>
      </c>
      <c r="B265" s="286" t="s">
        <v>317</v>
      </c>
      <c r="C265" s="326">
        <v>13</v>
      </c>
      <c r="D265" s="328">
        <v>2406</v>
      </c>
      <c r="E265" s="328">
        <v>1</v>
      </c>
      <c r="F265" s="328">
        <v>0</v>
      </c>
      <c r="G265" s="328">
        <v>25</v>
      </c>
      <c r="H265" s="328">
        <v>361.45</v>
      </c>
      <c r="I265" s="328">
        <v>6.7</v>
      </c>
    </row>
    <row r="266" spans="1:9" x14ac:dyDescent="0.35">
      <c r="A266" s="286">
        <v>851</v>
      </c>
      <c r="B266" s="286" t="s">
        <v>318</v>
      </c>
      <c r="C266" s="326">
        <v>19</v>
      </c>
      <c r="D266" s="328">
        <v>21875</v>
      </c>
      <c r="E266" s="328">
        <v>98</v>
      </c>
      <c r="F266" s="328">
        <v>15</v>
      </c>
      <c r="G266" s="328">
        <v>639</v>
      </c>
      <c r="H266" s="328">
        <v>1188.78</v>
      </c>
      <c r="I266" s="328">
        <v>18.399999999999999</v>
      </c>
    </row>
    <row r="267" spans="1:9" x14ac:dyDescent="0.35">
      <c r="A267" s="286">
        <v>853</v>
      </c>
      <c r="B267" s="286" t="s">
        <v>319</v>
      </c>
      <c r="C267" s="326">
        <v>2</v>
      </c>
      <c r="D267" s="328">
        <v>191331</v>
      </c>
      <c r="E267" s="328">
        <v>10406</v>
      </c>
      <c r="F267" s="328">
        <v>13</v>
      </c>
      <c r="G267" s="328">
        <v>21894</v>
      </c>
      <c r="H267" s="328">
        <v>245.66</v>
      </c>
      <c r="I267" s="328">
        <v>778.8</v>
      </c>
    </row>
    <row r="268" spans="1:9" x14ac:dyDescent="0.35">
      <c r="A268" s="286">
        <v>854</v>
      </c>
      <c r="B268" s="286" t="s">
        <v>320</v>
      </c>
      <c r="C268" s="326">
        <v>19</v>
      </c>
      <c r="D268" s="328">
        <v>3438</v>
      </c>
      <c r="E268" s="328">
        <v>20</v>
      </c>
      <c r="F268" s="328">
        <v>1</v>
      </c>
      <c r="G268" s="328">
        <v>37</v>
      </c>
      <c r="H268" s="328">
        <v>1738.64</v>
      </c>
      <c r="I268" s="328">
        <v>2</v>
      </c>
    </row>
    <row r="269" spans="1:9" x14ac:dyDescent="0.35">
      <c r="A269" s="286">
        <v>857</v>
      </c>
      <c r="B269" s="286" t="s">
        <v>321</v>
      </c>
      <c r="C269" s="326">
        <v>11</v>
      </c>
      <c r="D269" s="328">
        <v>2551</v>
      </c>
      <c r="E269" s="328">
        <v>2</v>
      </c>
      <c r="F269" s="328">
        <v>1</v>
      </c>
      <c r="G269" s="328">
        <v>43</v>
      </c>
      <c r="H269" s="328">
        <v>543.17999999999995</v>
      </c>
      <c r="I269" s="328">
        <v>4.7</v>
      </c>
    </row>
    <row r="270" spans="1:9" x14ac:dyDescent="0.35">
      <c r="A270" s="286">
        <v>858</v>
      </c>
      <c r="B270" s="286" t="s">
        <v>322</v>
      </c>
      <c r="C270" s="326">
        <v>35</v>
      </c>
      <c r="D270" s="328">
        <v>38664</v>
      </c>
      <c r="E270" s="328">
        <v>592</v>
      </c>
      <c r="F270" s="328">
        <v>3</v>
      </c>
      <c r="G270" s="328">
        <v>2035</v>
      </c>
      <c r="H270" s="328">
        <v>219.5</v>
      </c>
      <c r="I270" s="328">
        <v>176.1</v>
      </c>
    </row>
    <row r="271" spans="1:9" x14ac:dyDescent="0.35">
      <c r="A271" s="286">
        <v>859</v>
      </c>
      <c r="B271" s="286" t="s">
        <v>323</v>
      </c>
      <c r="C271" s="326">
        <v>17</v>
      </c>
      <c r="D271" s="328">
        <v>6758</v>
      </c>
      <c r="E271" s="328">
        <v>23</v>
      </c>
      <c r="F271" s="328">
        <v>1</v>
      </c>
      <c r="G271" s="328">
        <v>41</v>
      </c>
      <c r="H271" s="328">
        <v>491.81</v>
      </c>
      <c r="I271" s="328">
        <v>13.7</v>
      </c>
    </row>
    <row r="272" spans="1:9" x14ac:dyDescent="0.35">
      <c r="A272" s="286">
        <v>886</v>
      </c>
      <c r="B272" s="286" t="s">
        <v>324</v>
      </c>
      <c r="C272" s="326">
        <v>4</v>
      </c>
      <c r="D272" s="328">
        <v>13021</v>
      </c>
      <c r="E272" s="328">
        <v>35</v>
      </c>
      <c r="F272" s="328">
        <v>1</v>
      </c>
      <c r="G272" s="328">
        <v>213</v>
      </c>
      <c r="H272" s="328">
        <v>400.65</v>
      </c>
      <c r="I272" s="328">
        <v>32.5</v>
      </c>
    </row>
    <row r="273" spans="1:9" x14ac:dyDescent="0.35">
      <c r="A273" s="286">
        <v>887</v>
      </c>
      <c r="B273" s="286" t="s">
        <v>325</v>
      </c>
      <c r="C273" s="326">
        <v>6</v>
      </c>
      <c r="D273" s="328">
        <v>4792</v>
      </c>
      <c r="E273" s="328">
        <v>12</v>
      </c>
      <c r="F273" s="328">
        <v>0</v>
      </c>
      <c r="G273" s="328">
        <v>125</v>
      </c>
      <c r="H273" s="328">
        <v>475.4</v>
      </c>
      <c r="I273" s="328">
        <v>10.1</v>
      </c>
    </row>
    <row r="274" spans="1:9" x14ac:dyDescent="0.35">
      <c r="A274" s="286">
        <v>889</v>
      </c>
      <c r="B274" s="286" t="s">
        <v>326</v>
      </c>
      <c r="C274" s="326">
        <v>17</v>
      </c>
      <c r="D274" s="328">
        <v>2702</v>
      </c>
      <c r="E274" s="328">
        <v>0</v>
      </c>
      <c r="F274" s="328">
        <v>0</v>
      </c>
      <c r="G274" s="328">
        <v>55</v>
      </c>
      <c r="H274" s="328">
        <v>1671.17</v>
      </c>
      <c r="I274" s="328">
        <v>1.6</v>
      </c>
    </row>
    <row r="275" spans="1:9" x14ac:dyDescent="0.35">
      <c r="A275" s="286">
        <v>890</v>
      </c>
      <c r="B275" s="286" t="s">
        <v>327</v>
      </c>
      <c r="C275" s="326">
        <v>19</v>
      </c>
      <c r="D275" s="328">
        <v>1232</v>
      </c>
      <c r="E275" s="328">
        <v>2</v>
      </c>
      <c r="F275" s="328">
        <v>530</v>
      </c>
      <c r="G275" s="328">
        <v>45</v>
      </c>
      <c r="H275" s="328">
        <v>5145.9799999999996</v>
      </c>
      <c r="I275" s="328">
        <v>0.2</v>
      </c>
    </row>
    <row r="276" spans="1:9" x14ac:dyDescent="0.35">
      <c r="A276" s="286">
        <v>892</v>
      </c>
      <c r="B276" s="286" t="s">
        <v>328</v>
      </c>
      <c r="C276" s="326">
        <v>13</v>
      </c>
      <c r="D276" s="328">
        <v>3783</v>
      </c>
      <c r="E276" s="328">
        <v>5</v>
      </c>
      <c r="F276" s="328">
        <v>0</v>
      </c>
      <c r="G276" s="328">
        <v>42</v>
      </c>
      <c r="H276" s="328">
        <v>347.98</v>
      </c>
      <c r="I276" s="328">
        <v>10.9</v>
      </c>
    </row>
    <row r="277" spans="1:9" x14ac:dyDescent="0.35">
      <c r="A277" s="286">
        <v>893</v>
      </c>
      <c r="B277" s="286" t="s">
        <v>329</v>
      </c>
      <c r="C277" s="326">
        <v>15</v>
      </c>
      <c r="D277" s="328">
        <v>7455</v>
      </c>
      <c r="E277" s="328">
        <v>6440</v>
      </c>
      <c r="F277" s="328">
        <v>0</v>
      </c>
      <c r="G277" s="328">
        <v>501</v>
      </c>
      <c r="H277" s="328">
        <v>732.66</v>
      </c>
      <c r="I277" s="328">
        <v>10.199999999999999</v>
      </c>
    </row>
    <row r="278" spans="1:9" x14ac:dyDescent="0.35">
      <c r="A278" s="286">
        <v>895</v>
      </c>
      <c r="B278" s="286" t="s">
        <v>330</v>
      </c>
      <c r="C278" s="326">
        <v>2</v>
      </c>
      <c r="D278" s="328">
        <v>15700</v>
      </c>
      <c r="E278" s="328">
        <v>62</v>
      </c>
      <c r="F278" s="328">
        <v>1</v>
      </c>
      <c r="G278" s="328">
        <v>780</v>
      </c>
      <c r="H278" s="328">
        <v>502.75</v>
      </c>
      <c r="I278" s="328">
        <v>31.2</v>
      </c>
    </row>
    <row r="279" spans="1:9" x14ac:dyDescent="0.35">
      <c r="A279" s="286">
        <v>905</v>
      </c>
      <c r="B279" s="286" t="s">
        <v>331</v>
      </c>
      <c r="C279" s="326">
        <v>15</v>
      </c>
      <c r="D279" s="328">
        <v>67552</v>
      </c>
      <c r="E279" s="328">
        <v>15555</v>
      </c>
      <c r="F279" s="328">
        <v>7</v>
      </c>
      <c r="G279" s="328">
        <v>6009</v>
      </c>
      <c r="H279" s="328">
        <v>364.67</v>
      </c>
      <c r="I279" s="328">
        <v>185.2</v>
      </c>
    </row>
    <row r="280" spans="1:9" x14ac:dyDescent="0.35">
      <c r="A280" s="286">
        <v>908</v>
      </c>
      <c r="B280" s="286" t="s">
        <v>332</v>
      </c>
      <c r="C280" s="326">
        <v>6</v>
      </c>
      <c r="D280" s="328">
        <v>21137</v>
      </c>
      <c r="E280" s="328">
        <v>43</v>
      </c>
      <c r="F280" s="328">
        <v>1</v>
      </c>
      <c r="G280" s="328">
        <v>726</v>
      </c>
      <c r="H280" s="328">
        <v>272.04000000000002</v>
      </c>
      <c r="I280" s="328">
        <v>77.7</v>
      </c>
    </row>
    <row r="281" spans="1:9" x14ac:dyDescent="0.35">
      <c r="A281" s="286">
        <v>915</v>
      </c>
      <c r="B281" s="286" t="s">
        <v>333</v>
      </c>
      <c r="C281" s="326">
        <v>11</v>
      </c>
      <c r="D281" s="328">
        <v>20829</v>
      </c>
      <c r="E281" s="328">
        <v>42</v>
      </c>
      <c r="F281" s="328">
        <v>1</v>
      </c>
      <c r="G281" s="328">
        <v>659</v>
      </c>
      <c r="H281" s="328">
        <v>385.63</v>
      </c>
      <c r="I281" s="328">
        <v>54</v>
      </c>
    </row>
    <row r="282" spans="1:9" x14ac:dyDescent="0.35">
      <c r="A282" s="286">
        <v>918</v>
      </c>
      <c r="B282" s="286" t="s">
        <v>334</v>
      </c>
      <c r="C282" s="326">
        <v>2</v>
      </c>
      <c r="D282" s="328">
        <v>2285</v>
      </c>
      <c r="E282" s="328">
        <v>16</v>
      </c>
      <c r="F282" s="328">
        <v>0</v>
      </c>
      <c r="G282" s="328">
        <v>50</v>
      </c>
      <c r="H282" s="328">
        <v>188.85</v>
      </c>
      <c r="I282" s="328">
        <v>12.1</v>
      </c>
    </row>
    <row r="283" spans="1:9" x14ac:dyDescent="0.35">
      <c r="A283" s="286">
        <v>921</v>
      </c>
      <c r="B283" s="286" t="s">
        <v>335</v>
      </c>
      <c r="C283" s="326">
        <v>11</v>
      </c>
      <c r="D283" s="328">
        <v>2058</v>
      </c>
      <c r="E283" s="328">
        <v>4</v>
      </c>
      <c r="F283" s="328">
        <v>0</v>
      </c>
      <c r="G283" s="328">
        <v>33</v>
      </c>
      <c r="H283" s="328">
        <v>422.62</v>
      </c>
      <c r="I283" s="328">
        <v>4.9000000000000004</v>
      </c>
    </row>
    <row r="284" spans="1:9" x14ac:dyDescent="0.35">
      <c r="A284" s="286">
        <v>922</v>
      </c>
      <c r="B284" s="286" t="s">
        <v>336</v>
      </c>
      <c r="C284" s="326">
        <v>6</v>
      </c>
      <c r="D284" s="328">
        <v>4393</v>
      </c>
      <c r="E284" s="328">
        <v>15</v>
      </c>
      <c r="F284" s="328">
        <v>0</v>
      </c>
      <c r="G284" s="328">
        <v>77</v>
      </c>
      <c r="H284" s="328">
        <v>301.02</v>
      </c>
      <c r="I284" s="328">
        <v>14.6</v>
      </c>
    </row>
    <row r="285" spans="1:9" x14ac:dyDescent="0.35">
      <c r="A285" s="286">
        <v>924</v>
      </c>
      <c r="B285" s="286" t="s">
        <v>337</v>
      </c>
      <c r="C285" s="326">
        <v>16</v>
      </c>
      <c r="D285" s="328">
        <v>3166</v>
      </c>
      <c r="E285" s="328">
        <v>51</v>
      </c>
      <c r="F285" s="328">
        <v>0</v>
      </c>
      <c r="G285" s="328">
        <v>69</v>
      </c>
      <c r="H285" s="328">
        <v>502.13</v>
      </c>
      <c r="I285" s="328">
        <v>6.3</v>
      </c>
    </row>
    <row r="286" spans="1:9" x14ac:dyDescent="0.35">
      <c r="A286" s="286">
        <v>925</v>
      </c>
      <c r="B286" s="286" t="s">
        <v>338</v>
      </c>
      <c r="C286" s="326">
        <v>11</v>
      </c>
      <c r="D286" s="328">
        <v>3676</v>
      </c>
      <c r="E286" s="328">
        <v>3</v>
      </c>
      <c r="F286" s="328">
        <v>0</v>
      </c>
      <c r="G286" s="328">
        <v>114</v>
      </c>
      <c r="H286" s="328">
        <v>925.21</v>
      </c>
      <c r="I286" s="328">
        <v>4</v>
      </c>
    </row>
    <row r="287" spans="1:9" x14ac:dyDescent="0.35">
      <c r="A287" s="286">
        <v>927</v>
      </c>
      <c r="B287" s="286" t="s">
        <v>339</v>
      </c>
      <c r="C287" s="326">
        <v>33</v>
      </c>
      <c r="D287" s="328">
        <v>29211</v>
      </c>
      <c r="E287" s="328">
        <v>491</v>
      </c>
      <c r="F287" s="328">
        <v>1</v>
      </c>
      <c r="G287" s="328">
        <v>1556</v>
      </c>
      <c r="H287" s="328">
        <v>522.02</v>
      </c>
      <c r="I287" s="328">
        <v>56</v>
      </c>
    </row>
    <row r="288" spans="1:9" x14ac:dyDescent="0.35">
      <c r="A288" s="286">
        <v>931</v>
      </c>
      <c r="B288" s="286" t="s">
        <v>340</v>
      </c>
      <c r="C288" s="326">
        <v>13</v>
      </c>
      <c r="D288" s="328">
        <v>6264</v>
      </c>
      <c r="E288" s="328">
        <v>9</v>
      </c>
      <c r="F288" s="328">
        <v>0</v>
      </c>
      <c r="G288" s="328">
        <v>77</v>
      </c>
      <c r="H288" s="328">
        <v>1248.55</v>
      </c>
      <c r="I288" s="328">
        <v>5</v>
      </c>
    </row>
    <row r="289" spans="1:9" x14ac:dyDescent="0.35">
      <c r="A289" s="286">
        <v>934</v>
      </c>
      <c r="B289" s="286" t="s">
        <v>341</v>
      </c>
      <c r="C289" s="326">
        <v>14</v>
      </c>
      <c r="D289" s="328">
        <v>2901</v>
      </c>
      <c r="E289" s="328">
        <v>3</v>
      </c>
      <c r="F289" s="328">
        <v>0</v>
      </c>
      <c r="G289" s="328">
        <v>27</v>
      </c>
      <c r="H289" s="328">
        <v>287.32</v>
      </c>
      <c r="I289" s="328">
        <v>10.1</v>
      </c>
    </row>
    <row r="290" spans="1:9" x14ac:dyDescent="0.35">
      <c r="A290" s="286">
        <v>935</v>
      </c>
      <c r="B290" s="286" t="s">
        <v>342</v>
      </c>
      <c r="C290" s="326">
        <v>8</v>
      </c>
      <c r="D290" s="328">
        <v>3150</v>
      </c>
      <c r="E290" s="328">
        <v>14</v>
      </c>
      <c r="F290" s="328">
        <v>0</v>
      </c>
      <c r="G290" s="328">
        <v>198</v>
      </c>
      <c r="H290" s="328">
        <v>371.99</v>
      </c>
      <c r="I290" s="328">
        <v>8.5</v>
      </c>
    </row>
    <row r="291" spans="1:9" x14ac:dyDescent="0.35">
      <c r="A291" s="286">
        <v>936</v>
      </c>
      <c r="B291" s="286" t="s">
        <v>343</v>
      </c>
      <c r="C291" s="326">
        <v>6</v>
      </c>
      <c r="D291" s="328">
        <v>6739</v>
      </c>
      <c r="E291" s="328">
        <v>7</v>
      </c>
      <c r="F291" s="328">
        <v>0</v>
      </c>
      <c r="G291" s="328">
        <v>140</v>
      </c>
      <c r="H291" s="328">
        <v>1162.6500000000001</v>
      </c>
      <c r="I291" s="328">
        <v>5.8</v>
      </c>
    </row>
    <row r="292" spans="1:9" x14ac:dyDescent="0.35">
      <c r="A292" s="286">
        <v>946</v>
      </c>
      <c r="B292" s="286" t="s">
        <v>344</v>
      </c>
      <c r="C292" s="326">
        <v>15</v>
      </c>
      <c r="D292" s="328">
        <v>6613</v>
      </c>
      <c r="E292" s="328">
        <v>5327</v>
      </c>
      <c r="F292" s="328">
        <v>0</v>
      </c>
      <c r="G292" s="328">
        <v>452</v>
      </c>
      <c r="H292" s="328">
        <v>782.14</v>
      </c>
      <c r="I292" s="328">
        <v>8.5</v>
      </c>
    </row>
    <row r="293" spans="1:9" x14ac:dyDescent="0.35">
      <c r="A293" s="286">
        <v>976</v>
      </c>
      <c r="B293" s="286" t="s">
        <v>345</v>
      </c>
      <c r="C293" s="326">
        <v>19</v>
      </c>
      <c r="D293" s="328">
        <v>4022</v>
      </c>
      <c r="E293" s="328">
        <v>22</v>
      </c>
      <c r="F293" s="328">
        <v>4</v>
      </c>
      <c r="G293" s="328">
        <v>80</v>
      </c>
      <c r="H293" s="328">
        <v>2028.04</v>
      </c>
      <c r="I293" s="328">
        <v>2</v>
      </c>
    </row>
    <row r="294" spans="1:9" x14ac:dyDescent="0.35">
      <c r="A294" s="286">
        <v>977</v>
      </c>
      <c r="B294" s="286" t="s">
        <v>346</v>
      </c>
      <c r="C294" s="326">
        <v>17</v>
      </c>
      <c r="D294" s="328">
        <v>15212</v>
      </c>
      <c r="E294" s="328">
        <v>42</v>
      </c>
      <c r="F294" s="328">
        <v>1</v>
      </c>
      <c r="G294" s="328">
        <v>211</v>
      </c>
      <c r="H294" s="328">
        <v>568.89</v>
      </c>
      <c r="I294" s="328">
        <v>26.7</v>
      </c>
    </row>
    <row r="295" spans="1:9" x14ac:dyDescent="0.35">
      <c r="A295" s="286">
        <v>980</v>
      </c>
      <c r="B295" s="286" t="s">
        <v>347</v>
      </c>
      <c r="C295" s="326">
        <v>6</v>
      </c>
      <c r="D295" s="328">
        <v>32983</v>
      </c>
      <c r="E295" s="328">
        <v>114</v>
      </c>
      <c r="F295" s="328">
        <v>0</v>
      </c>
      <c r="G295" s="328">
        <v>788</v>
      </c>
      <c r="H295" s="328">
        <v>1115.6400000000001</v>
      </c>
      <c r="I295" s="328">
        <v>29.6</v>
      </c>
    </row>
    <row r="296" spans="1:9" x14ac:dyDescent="0.35">
      <c r="A296" s="286">
        <v>981</v>
      </c>
      <c r="B296" s="286" t="s">
        <v>348</v>
      </c>
      <c r="C296" s="326">
        <v>5</v>
      </c>
      <c r="D296" s="328">
        <v>2357</v>
      </c>
      <c r="E296" s="328">
        <v>14</v>
      </c>
      <c r="F296" s="328">
        <v>0</v>
      </c>
      <c r="G296" s="328">
        <v>42</v>
      </c>
      <c r="H296" s="328">
        <v>182.76</v>
      </c>
      <c r="I296" s="328">
        <v>12.9</v>
      </c>
    </row>
    <row r="297" spans="1:9" x14ac:dyDescent="0.35">
      <c r="A297" s="286">
        <v>989</v>
      </c>
      <c r="B297" s="286" t="s">
        <v>349</v>
      </c>
      <c r="C297" s="326">
        <v>14</v>
      </c>
      <c r="D297" s="328">
        <v>5703</v>
      </c>
      <c r="E297" s="328">
        <v>4</v>
      </c>
      <c r="F297" s="328">
        <v>0</v>
      </c>
      <c r="G297" s="328">
        <v>62</v>
      </c>
      <c r="H297" s="328">
        <v>805.82</v>
      </c>
      <c r="I297" s="328">
        <v>7.1</v>
      </c>
    </row>
    <row r="298" spans="1:9" x14ac:dyDescent="0.35">
      <c r="A298" s="286">
        <v>992</v>
      </c>
      <c r="B298" s="286" t="s">
        <v>350</v>
      </c>
      <c r="C298" s="326">
        <v>13</v>
      </c>
      <c r="D298" s="328">
        <v>18851</v>
      </c>
      <c r="E298" s="328">
        <v>17</v>
      </c>
      <c r="F298" s="328">
        <v>6</v>
      </c>
      <c r="G298" s="328">
        <v>295</v>
      </c>
      <c r="H298" s="328">
        <v>884.57</v>
      </c>
      <c r="I298" s="328">
        <v>21.3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Info</vt:lpstr>
      <vt:lpstr>Social- och hälsovårdskostnader</vt:lpstr>
      <vt:lpstr>Räddningskostnader som överförs</vt:lpstr>
      <vt:lpstr>Kalkylerad finansiering av soci</vt:lpstr>
      <vt:lpstr>Kalkylerade finansieringen av r</vt:lpstr>
      <vt:lpstr>Sammanfattning och ändring jämf</vt:lpstr>
      <vt:lpstr>Övergångsperiod</vt:lpstr>
      <vt:lpstr>Bestämningsfaktorer</vt:lpstr>
      <vt:lpstr>Bestämningsfaktor_kommunvis</vt:lpstr>
      <vt:lpstr>Koefficienten för främjande av </vt:lpstr>
      <vt:lpstr>THL (2020) modeller</vt:lpstr>
      <vt:lpstr>Bestämningsfaktorer, Hälsovård</vt:lpstr>
      <vt:lpstr>Bestämningsfaktorer, Äldreomsor</vt:lpstr>
      <vt:lpstr>Bestämningsfaktorer, Socialvård</vt:lpstr>
      <vt:lpstr>Behovskoefficienter inom hälsov</vt:lpstr>
      <vt:lpstr>Sektorsvikter för hälsovården,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Finansiering av välfärdsområdena, publicering 8.12.2020</dc:title>
  <dc:creator/>
  <cp:lastModifiedBy>Jaakkola Jenni (VM)</cp:lastModifiedBy>
  <dcterms:created xsi:type="dcterms:W3CDTF">2020-05-15T09:22:39Z</dcterms:created>
  <dcterms:modified xsi:type="dcterms:W3CDTF">2020-12-10T09:37:08Z</dcterms:modified>
</cp:coreProperties>
</file>