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011061\Desktop\Yhteiset työympäristöt - raportti\"/>
    </mc:Choice>
  </mc:AlternateContent>
  <bookViews>
    <workbookView xWindow="0" yWindow="500" windowWidth="38400" windowHeight="22860"/>
  </bookViews>
  <sheets>
    <sheet name="Tilaohjelma" sheetId="4" r:id="rId1"/>
    <sheet name="Palvelupisteiden taustalaskenta" sheetId="1" r:id="rId2"/>
  </sheets>
  <definedNames>
    <definedName name="_xlnm.Print_Area" localSheetId="0">Tilaohjelma!$A$2:$S$129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D19" i="1"/>
  <c r="D20" i="1"/>
  <c r="D21" i="1"/>
  <c r="D22" i="1"/>
  <c r="D23" i="1"/>
  <c r="D24" i="1"/>
  <c r="D25" i="1"/>
  <c r="D26" i="1"/>
  <c r="D27" i="1"/>
  <c r="D28" i="1"/>
  <c r="D29" i="1"/>
  <c r="D18" i="1"/>
  <c r="C19" i="1"/>
  <c r="C20" i="1"/>
  <c r="C21" i="1"/>
  <c r="C22" i="1"/>
  <c r="C23" i="1"/>
  <c r="C24" i="1"/>
  <c r="C25" i="1"/>
  <c r="C26" i="1"/>
  <c r="C27" i="1"/>
  <c r="C28" i="1"/>
  <c r="C29" i="1"/>
  <c r="C18" i="1"/>
  <c r="I43" i="4"/>
  <c r="K52" i="4"/>
  <c r="C62" i="4"/>
  <c r="E45" i="4"/>
  <c r="K45" i="4"/>
  <c r="K28" i="4"/>
  <c r="H26" i="4"/>
  <c r="O108" i="4"/>
  <c r="O104" i="4"/>
  <c r="H101" i="4"/>
  <c r="H100" i="4"/>
  <c r="H99" i="4"/>
  <c r="K97" i="4"/>
  <c r="K96" i="4"/>
  <c r="K95" i="4"/>
  <c r="K74" i="4"/>
  <c r="I74" i="4"/>
  <c r="H43" i="4"/>
  <c r="K43" i="4"/>
  <c r="H73" i="4"/>
  <c r="H72" i="4"/>
  <c r="H71" i="4"/>
  <c r="H70" i="4"/>
  <c r="K27" i="4"/>
  <c r="K25" i="4"/>
  <c r="H10" i="4"/>
  <c r="I8" i="4"/>
  <c r="F39" i="4"/>
  <c r="H91" i="4"/>
  <c r="K91" i="4"/>
  <c r="I9" i="4"/>
  <c r="I10" i="4"/>
  <c r="H92" i="4"/>
  <c r="K92" i="4"/>
  <c r="E112" i="4"/>
  <c r="K112" i="4"/>
  <c r="E75" i="4"/>
  <c r="I104" i="4"/>
  <c r="H39" i="4"/>
  <c r="E70" i="4"/>
  <c r="I70" i="4"/>
  <c r="E93" i="4"/>
  <c r="K93" i="4"/>
  <c r="E105" i="4"/>
  <c r="I77" i="4"/>
  <c r="I103" i="4"/>
  <c r="E103" i="4"/>
  <c r="K103" i="4"/>
  <c r="E111" i="4"/>
  <c r="K111" i="4"/>
  <c r="I92" i="4"/>
  <c r="I145" i="4"/>
  <c r="K70" i="4"/>
  <c r="E109" i="4"/>
  <c r="I107" i="4"/>
  <c r="I106" i="4"/>
  <c r="H40" i="4"/>
  <c r="K40" i="4"/>
  <c r="K39" i="4"/>
  <c r="E104" i="4"/>
  <c r="H104" i="4"/>
  <c r="K104" i="4"/>
  <c r="I75" i="4"/>
  <c r="K75" i="4"/>
  <c r="I108" i="4"/>
  <c r="E77" i="4"/>
  <c r="F77" i="4"/>
  <c r="K105" i="4"/>
  <c r="I105" i="4"/>
  <c r="H77" i="4"/>
  <c r="K77" i="4"/>
  <c r="H107" i="4"/>
  <c r="K107" i="4"/>
  <c r="F107" i="4"/>
  <c r="E100" i="4"/>
  <c r="E72" i="4"/>
  <c r="E101" i="4"/>
  <c r="E99" i="4"/>
  <c r="E73" i="4"/>
  <c r="E71" i="4"/>
  <c r="E108" i="4"/>
  <c r="F108" i="4"/>
  <c r="K109" i="4"/>
  <c r="I109" i="4"/>
  <c r="I143" i="4"/>
  <c r="I142" i="4"/>
  <c r="K99" i="4"/>
  <c r="I99" i="4"/>
  <c r="I73" i="4"/>
  <c r="K73" i="4"/>
  <c r="I100" i="4"/>
  <c r="K100" i="4"/>
  <c r="I71" i="4"/>
  <c r="K71" i="4"/>
  <c r="K101" i="4"/>
  <c r="I101" i="4"/>
  <c r="I72" i="4"/>
  <c r="K72" i="4"/>
  <c r="H108" i="4"/>
  <c r="K108" i="4"/>
  <c r="K114" i="4"/>
  <c r="K118" i="4"/>
  <c r="I65" i="4"/>
  <c r="F67" i="4"/>
  <c r="I146" i="4"/>
  <c r="I144" i="4"/>
  <c r="I147" i="4"/>
  <c r="K117" i="4"/>
  <c r="K83" i="4"/>
  <c r="I67" i="4"/>
  <c r="E68" i="4"/>
  <c r="K68" i="4"/>
  <c r="H67" i="4"/>
  <c r="K67" i="4"/>
  <c r="K79" i="4"/>
  <c r="K82" i="4"/>
  <c r="K85" i="4"/>
  <c r="K137" i="4"/>
  <c r="K120" i="4"/>
  <c r="K127" i="4"/>
  <c r="K138" i="4"/>
  <c r="K87" i="4"/>
  <c r="K86" i="4"/>
  <c r="K122" i="4"/>
  <c r="K121" i="4"/>
  <c r="G201" i="1"/>
  <c r="D30" i="1"/>
  <c r="C30" i="1"/>
  <c r="H133" i="1"/>
  <c r="L249" i="1"/>
  <c r="L250" i="1"/>
  <c r="L251" i="1"/>
  <c r="L252" i="1"/>
  <c r="L253" i="1"/>
  <c r="L254" i="1"/>
  <c r="L255" i="1"/>
  <c r="L256" i="1"/>
  <c r="L257" i="1"/>
  <c r="L258" i="1"/>
  <c r="L259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248" i="1"/>
  <c r="J254" i="1"/>
  <c r="I254" i="1"/>
  <c r="H254" i="1"/>
  <c r="G254" i="1"/>
  <c r="F254" i="1"/>
  <c r="E254" i="1"/>
  <c r="D254" i="1"/>
  <c r="C254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D399" i="1"/>
  <c r="E399" i="1"/>
  <c r="F399" i="1"/>
  <c r="G399" i="1"/>
  <c r="D400" i="1"/>
  <c r="E400" i="1"/>
  <c r="F400" i="1"/>
  <c r="G400" i="1"/>
  <c r="D401" i="1"/>
  <c r="E401" i="1"/>
  <c r="D402" i="1"/>
  <c r="E402" i="1"/>
  <c r="F402" i="1"/>
  <c r="G402" i="1"/>
  <c r="D403" i="1"/>
  <c r="E403" i="1"/>
  <c r="F403" i="1"/>
  <c r="G403" i="1"/>
  <c r="D404" i="1"/>
  <c r="E404" i="1"/>
  <c r="F404" i="1"/>
  <c r="G404" i="1"/>
  <c r="D405" i="1"/>
  <c r="E405" i="1"/>
  <c r="F405" i="1"/>
  <c r="G405" i="1"/>
  <c r="D406" i="1"/>
  <c r="E406" i="1"/>
  <c r="F406" i="1"/>
  <c r="G406" i="1"/>
  <c r="D407" i="1"/>
  <c r="E407" i="1"/>
  <c r="F407" i="1"/>
  <c r="G407" i="1"/>
  <c r="D408" i="1"/>
  <c r="E408" i="1"/>
  <c r="F408" i="1"/>
  <c r="G408" i="1"/>
  <c r="D409" i="1"/>
  <c r="E409" i="1"/>
  <c r="F409" i="1"/>
  <c r="G409" i="1"/>
  <c r="D410" i="1"/>
  <c r="E410" i="1"/>
  <c r="F410" i="1"/>
  <c r="G410" i="1"/>
  <c r="C411" i="1"/>
  <c r="C482" i="1"/>
  <c r="I483" i="1"/>
  <c r="D482" i="1"/>
  <c r="E482" i="1"/>
  <c r="F482" i="1"/>
  <c r="G482" i="1"/>
  <c r="H482" i="1"/>
  <c r="I482" i="1"/>
  <c r="J482" i="1"/>
  <c r="K254" i="1"/>
  <c r="D483" i="1"/>
  <c r="I486" i="1"/>
  <c r="G486" i="1"/>
  <c r="F484" i="1"/>
  <c r="H486" i="1"/>
  <c r="G485" i="1"/>
  <c r="F485" i="1"/>
  <c r="H485" i="1"/>
  <c r="G484" i="1"/>
  <c r="E411" i="1"/>
  <c r="F401" i="1"/>
  <c r="G401" i="1"/>
  <c r="G411" i="1"/>
  <c r="E483" i="1"/>
  <c r="E485" i="1"/>
  <c r="C483" i="1"/>
  <c r="F486" i="1"/>
  <c r="D485" i="1"/>
  <c r="C485" i="1"/>
  <c r="D484" i="1"/>
  <c r="D411" i="1"/>
  <c r="C486" i="1"/>
  <c r="J484" i="1"/>
  <c r="G483" i="1"/>
  <c r="E484" i="1"/>
  <c r="E486" i="1"/>
  <c r="C484" i="1"/>
  <c r="D486" i="1"/>
  <c r="H483" i="1"/>
  <c r="J486" i="1"/>
  <c r="J485" i="1"/>
  <c r="H484" i="1"/>
  <c r="F483" i="1"/>
  <c r="J483" i="1"/>
  <c r="I485" i="1"/>
  <c r="I484" i="1"/>
  <c r="F411" i="1"/>
  <c r="D105" i="1"/>
  <c r="D107" i="1"/>
  <c r="D101" i="1"/>
  <c r="D100" i="1"/>
  <c r="D99" i="1"/>
  <c r="D97" i="1"/>
  <c r="I56" i="1"/>
  <c r="C97" i="1"/>
  <c r="D98" i="1"/>
  <c r="C98" i="1"/>
  <c r="D106" i="1"/>
  <c r="C106" i="1"/>
  <c r="D102" i="1"/>
  <c r="C102" i="1"/>
  <c r="C101" i="1"/>
  <c r="C105" i="1"/>
  <c r="C100" i="1"/>
  <c r="D96" i="1"/>
  <c r="C96" i="1"/>
  <c r="C99" i="1"/>
  <c r="C107" i="1"/>
  <c r="D104" i="1"/>
  <c r="C104" i="1"/>
  <c r="D103" i="1"/>
  <c r="C103" i="1"/>
  <c r="J228" i="1"/>
  <c r="K228" i="1"/>
  <c r="H228" i="1"/>
  <c r="I228" i="1"/>
  <c r="G228" i="1"/>
  <c r="F228" i="1"/>
  <c r="D228" i="1"/>
  <c r="E228" i="1"/>
  <c r="B228" i="1"/>
  <c r="C228" i="1"/>
  <c r="J227" i="1"/>
  <c r="K227" i="1"/>
  <c r="H227" i="1"/>
  <c r="I227" i="1"/>
  <c r="G227" i="1"/>
  <c r="F227" i="1"/>
  <c r="D227" i="1"/>
  <c r="E227" i="1"/>
  <c r="B227" i="1"/>
  <c r="C227" i="1"/>
  <c r="J226" i="1"/>
  <c r="K226" i="1"/>
  <c r="H226" i="1"/>
  <c r="I226" i="1"/>
  <c r="G226" i="1"/>
  <c r="F226" i="1"/>
  <c r="D226" i="1"/>
  <c r="E226" i="1"/>
  <c r="B226" i="1"/>
  <c r="C226" i="1"/>
  <c r="J225" i="1"/>
  <c r="K225" i="1"/>
  <c r="H225" i="1"/>
  <c r="I225" i="1"/>
  <c r="G225" i="1"/>
  <c r="F225" i="1"/>
  <c r="D225" i="1"/>
  <c r="E225" i="1"/>
  <c r="B225" i="1"/>
  <c r="C225" i="1"/>
  <c r="J224" i="1"/>
  <c r="K224" i="1"/>
  <c r="H224" i="1"/>
  <c r="I224" i="1"/>
  <c r="G224" i="1"/>
  <c r="F224" i="1"/>
  <c r="D224" i="1"/>
  <c r="E224" i="1"/>
  <c r="B224" i="1"/>
  <c r="J223" i="1"/>
  <c r="K223" i="1"/>
  <c r="H223" i="1"/>
  <c r="I223" i="1"/>
  <c r="G223" i="1"/>
  <c r="F223" i="1"/>
  <c r="D223" i="1"/>
  <c r="E223" i="1"/>
  <c r="B223" i="1"/>
  <c r="J222" i="1"/>
  <c r="K222" i="1"/>
  <c r="H222" i="1"/>
  <c r="I222" i="1"/>
  <c r="G222" i="1"/>
  <c r="F222" i="1"/>
  <c r="D222" i="1"/>
  <c r="E222" i="1"/>
  <c r="B222" i="1"/>
  <c r="C222" i="1"/>
  <c r="J221" i="1"/>
  <c r="K221" i="1"/>
  <c r="H221" i="1"/>
  <c r="I221" i="1"/>
  <c r="G221" i="1"/>
  <c r="F221" i="1"/>
  <c r="E221" i="1"/>
  <c r="B221" i="1"/>
  <c r="C221" i="1"/>
  <c r="J220" i="1"/>
  <c r="K220" i="1"/>
  <c r="H220" i="1"/>
  <c r="G220" i="1"/>
  <c r="F220" i="1"/>
  <c r="D220" i="1"/>
  <c r="E220" i="1"/>
  <c r="B220" i="1"/>
  <c r="C220" i="1"/>
  <c r="J219" i="1"/>
  <c r="K219" i="1"/>
  <c r="H219" i="1"/>
  <c r="I219" i="1"/>
  <c r="G219" i="1"/>
  <c r="F219" i="1"/>
  <c r="D219" i="1"/>
  <c r="E219" i="1"/>
  <c r="B219" i="1"/>
  <c r="C219" i="1"/>
  <c r="J218" i="1"/>
  <c r="K218" i="1"/>
  <c r="H218" i="1"/>
  <c r="I218" i="1"/>
  <c r="G218" i="1"/>
  <c r="F218" i="1"/>
  <c r="D218" i="1"/>
  <c r="E218" i="1"/>
  <c r="B218" i="1"/>
  <c r="C218" i="1"/>
  <c r="J217" i="1"/>
  <c r="K217" i="1"/>
  <c r="H217" i="1"/>
  <c r="I217" i="1"/>
  <c r="G217" i="1"/>
  <c r="F217" i="1"/>
  <c r="D217" i="1"/>
  <c r="E217" i="1"/>
  <c r="B217" i="1"/>
  <c r="C217" i="1"/>
  <c r="G212" i="1"/>
  <c r="G196" i="1"/>
  <c r="F212" i="1"/>
  <c r="F196" i="1"/>
  <c r="E212" i="1"/>
  <c r="E196" i="1"/>
  <c r="D212" i="1"/>
  <c r="D196" i="1"/>
  <c r="G211" i="1"/>
  <c r="G195" i="1"/>
  <c r="F211" i="1"/>
  <c r="F195" i="1"/>
  <c r="E211" i="1"/>
  <c r="E195" i="1"/>
  <c r="G210" i="1"/>
  <c r="G194" i="1"/>
  <c r="F210" i="1"/>
  <c r="F194" i="1"/>
  <c r="E210" i="1"/>
  <c r="E194" i="1"/>
  <c r="D210" i="1"/>
  <c r="D194" i="1"/>
  <c r="F209" i="1"/>
  <c r="F193" i="1"/>
  <c r="E209" i="1"/>
  <c r="E193" i="1"/>
  <c r="D209" i="1"/>
  <c r="G208" i="1"/>
  <c r="G192" i="1"/>
  <c r="F208" i="1"/>
  <c r="F192" i="1"/>
  <c r="E208" i="1"/>
  <c r="E192" i="1"/>
  <c r="G207" i="1"/>
  <c r="G191" i="1"/>
  <c r="F207" i="1"/>
  <c r="F191" i="1"/>
  <c r="E207" i="1"/>
  <c r="G206" i="1"/>
  <c r="G190" i="1"/>
  <c r="F206" i="1"/>
  <c r="F190" i="1"/>
  <c r="E206" i="1"/>
  <c r="E190" i="1"/>
  <c r="F205" i="1"/>
  <c r="F189" i="1"/>
  <c r="E205" i="1"/>
  <c r="E189" i="1"/>
  <c r="D205" i="1"/>
  <c r="D189" i="1"/>
  <c r="G204" i="1"/>
  <c r="G188" i="1"/>
  <c r="F204" i="1"/>
  <c r="F188" i="1"/>
  <c r="E204" i="1"/>
  <c r="E188" i="1"/>
  <c r="G203" i="1"/>
  <c r="F203" i="1"/>
  <c r="F187" i="1"/>
  <c r="E203" i="1"/>
  <c r="E187" i="1"/>
  <c r="D203" i="1"/>
  <c r="D187" i="1"/>
  <c r="G202" i="1"/>
  <c r="G186" i="1"/>
  <c r="F202" i="1"/>
  <c r="F186" i="1"/>
  <c r="E202" i="1"/>
  <c r="E186" i="1"/>
  <c r="D202" i="1"/>
  <c r="G185" i="1"/>
  <c r="F201" i="1"/>
  <c r="F185" i="1"/>
  <c r="E201" i="1"/>
  <c r="E185" i="1"/>
  <c r="D201" i="1"/>
  <c r="D185" i="1"/>
  <c r="I196" i="1"/>
  <c r="H196" i="1"/>
  <c r="I195" i="1"/>
  <c r="H195" i="1"/>
  <c r="D195" i="1"/>
  <c r="I194" i="1"/>
  <c r="H194" i="1"/>
  <c r="I193" i="1"/>
  <c r="H193" i="1"/>
  <c r="G193" i="1"/>
  <c r="D193" i="1"/>
  <c r="I192" i="1"/>
  <c r="H192" i="1"/>
  <c r="D192" i="1"/>
  <c r="I191" i="1"/>
  <c r="H191" i="1"/>
  <c r="E191" i="1"/>
  <c r="D191" i="1"/>
  <c r="I190" i="1"/>
  <c r="H190" i="1"/>
  <c r="D190" i="1"/>
  <c r="I189" i="1"/>
  <c r="H189" i="1"/>
  <c r="G189" i="1"/>
  <c r="I188" i="1"/>
  <c r="H188" i="1"/>
  <c r="D188" i="1"/>
  <c r="I187" i="1"/>
  <c r="H187" i="1"/>
  <c r="G187" i="1"/>
  <c r="I186" i="1"/>
  <c r="H186" i="1"/>
  <c r="I185" i="1"/>
  <c r="H185" i="1"/>
  <c r="A149" i="1"/>
  <c r="A148" i="1"/>
  <c r="H66" i="1"/>
  <c r="A147" i="1"/>
  <c r="A146" i="1"/>
  <c r="A145" i="1"/>
  <c r="A144" i="1"/>
  <c r="A143" i="1"/>
  <c r="A142" i="1"/>
  <c r="A141" i="1"/>
  <c r="A140" i="1"/>
  <c r="A139" i="1"/>
  <c r="A138" i="1"/>
  <c r="I134" i="1"/>
  <c r="C68" i="1"/>
  <c r="C69" i="1"/>
  <c r="I67" i="1"/>
  <c r="I66" i="1"/>
  <c r="C66" i="1"/>
  <c r="I65" i="1"/>
  <c r="I64" i="1"/>
  <c r="I63" i="1"/>
  <c r="I62" i="1"/>
  <c r="I61" i="1"/>
  <c r="I60" i="1"/>
  <c r="I59" i="1"/>
  <c r="I58" i="1"/>
  <c r="I57" i="1"/>
  <c r="H62" i="1"/>
  <c r="H63" i="1"/>
  <c r="H60" i="1"/>
  <c r="H64" i="1"/>
  <c r="P301" i="1"/>
  <c r="P273" i="1"/>
  <c r="P315" i="1"/>
  <c r="P287" i="1"/>
  <c r="P259" i="1"/>
  <c r="P296" i="1"/>
  <c r="P268" i="1"/>
  <c r="P254" i="1"/>
  <c r="P310" i="1"/>
  <c r="P282" i="1"/>
  <c r="P294" i="1"/>
  <c r="P266" i="1"/>
  <c r="P308" i="1"/>
  <c r="P280" i="1"/>
  <c r="P252" i="1"/>
  <c r="P255" i="1"/>
  <c r="P311" i="1"/>
  <c r="P283" i="1"/>
  <c r="P297" i="1"/>
  <c r="P269" i="1"/>
  <c r="P314" i="1"/>
  <c r="P286" i="1"/>
  <c r="P258" i="1"/>
  <c r="P300" i="1"/>
  <c r="P272" i="1"/>
  <c r="P293" i="1"/>
  <c r="P265" i="1"/>
  <c r="P307" i="1"/>
  <c r="P279" i="1"/>
  <c r="P251" i="1"/>
  <c r="P295" i="1"/>
  <c r="P267" i="1"/>
  <c r="P281" i="1"/>
  <c r="P309" i="1"/>
  <c r="P253" i="1"/>
  <c r="P304" i="1"/>
  <c r="P276" i="1"/>
  <c r="P248" i="1"/>
  <c r="P290" i="1"/>
  <c r="P262" i="1"/>
  <c r="P312" i="1"/>
  <c r="P284" i="1"/>
  <c r="P256" i="1"/>
  <c r="P298" i="1"/>
  <c r="P270" i="1"/>
  <c r="P306" i="1"/>
  <c r="P278" i="1"/>
  <c r="P250" i="1"/>
  <c r="P292" i="1"/>
  <c r="P264" i="1"/>
  <c r="P263" i="1"/>
  <c r="P305" i="1"/>
  <c r="P277" i="1"/>
  <c r="P249" i="1"/>
  <c r="P291" i="1"/>
  <c r="P299" i="1"/>
  <c r="P313" i="1"/>
  <c r="P285" i="1"/>
  <c r="P257" i="1"/>
  <c r="P271" i="1"/>
  <c r="H61" i="1"/>
  <c r="H57" i="1"/>
  <c r="H56" i="1"/>
  <c r="H65" i="1"/>
  <c r="H67" i="1"/>
  <c r="H58" i="1"/>
  <c r="H59" i="1"/>
  <c r="A170" i="1"/>
  <c r="D170" i="1"/>
  <c r="A178" i="1"/>
  <c r="E178" i="1"/>
  <c r="A176" i="1"/>
  <c r="E176" i="1"/>
  <c r="I20" i="1"/>
  <c r="C142" i="1"/>
  <c r="G147" i="1"/>
  <c r="G143" i="1"/>
  <c r="G141" i="1"/>
  <c r="I19" i="1"/>
  <c r="I25" i="1"/>
  <c r="I28" i="1"/>
  <c r="C212" i="1"/>
  <c r="C196" i="1"/>
  <c r="C207" i="1"/>
  <c r="C191" i="1"/>
  <c r="C204" i="1"/>
  <c r="C188" i="1"/>
  <c r="C201" i="1"/>
  <c r="C185" i="1"/>
  <c r="C205" i="1"/>
  <c r="C189" i="1"/>
  <c r="C211" i="1"/>
  <c r="C195" i="1"/>
  <c r="D149" i="1"/>
  <c r="C223" i="1"/>
  <c r="G144" i="1"/>
  <c r="C209" i="1"/>
  <c r="C193" i="1"/>
  <c r="E144" i="1"/>
  <c r="F138" i="1"/>
  <c r="M56" i="1"/>
  <c r="C146" i="1"/>
  <c r="E138" i="1"/>
  <c r="F144" i="1"/>
  <c r="M62" i="1"/>
  <c r="A154" i="1"/>
  <c r="C154" i="1"/>
  <c r="A169" i="1"/>
  <c r="D169" i="1"/>
  <c r="A175" i="1"/>
  <c r="D175" i="1"/>
  <c r="G138" i="1"/>
  <c r="D138" i="1"/>
  <c r="C138" i="1"/>
  <c r="E145" i="1"/>
  <c r="G146" i="1"/>
  <c r="F147" i="1"/>
  <c r="M65" i="1"/>
  <c r="D145" i="1"/>
  <c r="C141" i="1"/>
  <c r="A177" i="1"/>
  <c r="E177" i="1"/>
  <c r="D146" i="1"/>
  <c r="C149" i="1"/>
  <c r="A161" i="1"/>
  <c r="E161" i="1"/>
  <c r="E141" i="1"/>
  <c r="F146" i="1"/>
  <c r="M64" i="1"/>
  <c r="A162" i="1"/>
  <c r="F162" i="1"/>
  <c r="E149" i="1"/>
  <c r="A163" i="1"/>
  <c r="E163" i="1"/>
  <c r="E139" i="1"/>
  <c r="C147" i="1"/>
  <c r="A165" i="1"/>
  <c r="E165" i="1"/>
  <c r="A157" i="1"/>
  <c r="E157" i="1"/>
  <c r="D141" i="1"/>
  <c r="C139" i="1"/>
  <c r="F139" i="1"/>
  <c r="M57" i="1"/>
  <c r="E147" i="1"/>
  <c r="A155" i="1"/>
  <c r="C155" i="1"/>
  <c r="G139" i="1"/>
  <c r="F140" i="1"/>
  <c r="M58" i="1"/>
  <c r="A156" i="1"/>
  <c r="G140" i="1"/>
  <c r="A171" i="1"/>
  <c r="C140" i="1"/>
  <c r="A164" i="1"/>
  <c r="F148" i="1"/>
  <c r="M66" i="1"/>
  <c r="G148" i="1"/>
  <c r="A179" i="1"/>
  <c r="C148" i="1"/>
  <c r="I27" i="1"/>
  <c r="F143" i="1"/>
  <c r="M61" i="1"/>
  <c r="C143" i="1"/>
  <c r="A174" i="1"/>
  <c r="E143" i="1"/>
  <c r="D143" i="1"/>
  <c r="G149" i="1"/>
  <c r="C202" i="1"/>
  <c r="C186" i="1"/>
  <c r="I26" i="1"/>
  <c r="I21" i="1"/>
  <c r="I22" i="1"/>
  <c r="D140" i="1"/>
  <c r="D148" i="1"/>
  <c r="I23" i="1"/>
  <c r="G142" i="1"/>
  <c r="A173" i="1"/>
  <c r="F142" i="1"/>
  <c r="M60" i="1"/>
  <c r="E142" i="1"/>
  <c r="D142" i="1"/>
  <c r="E140" i="1"/>
  <c r="E148" i="1"/>
  <c r="A158" i="1"/>
  <c r="I24" i="1"/>
  <c r="I29" i="1"/>
  <c r="I68" i="1"/>
  <c r="A159" i="1"/>
  <c r="D139" i="1"/>
  <c r="F145" i="1"/>
  <c r="M63" i="1"/>
  <c r="E146" i="1"/>
  <c r="D147" i="1"/>
  <c r="A172" i="1"/>
  <c r="A180" i="1"/>
  <c r="C206" i="1"/>
  <c r="C190" i="1"/>
  <c r="C208" i="1"/>
  <c r="C192" i="1"/>
  <c r="C210" i="1"/>
  <c r="C194" i="1"/>
  <c r="C203" i="1"/>
  <c r="C187" i="1"/>
  <c r="I220" i="1"/>
  <c r="C144" i="1"/>
  <c r="F149" i="1"/>
  <c r="M67" i="1"/>
  <c r="C224" i="1"/>
  <c r="G145" i="1"/>
  <c r="D144" i="1"/>
  <c r="C145" i="1"/>
  <c r="A160" i="1"/>
  <c r="D186" i="1"/>
  <c r="F290" i="1"/>
  <c r="J290" i="1"/>
  <c r="H290" i="1"/>
  <c r="G290" i="1"/>
  <c r="S290" i="1"/>
  <c r="R290" i="1"/>
  <c r="E290" i="1"/>
  <c r="I290" i="1"/>
  <c r="D290" i="1"/>
  <c r="Q290" i="1"/>
  <c r="C290" i="1"/>
  <c r="F286" i="1"/>
  <c r="I286" i="1"/>
  <c r="J286" i="1"/>
  <c r="R286" i="1"/>
  <c r="C286" i="1"/>
  <c r="S286" i="1"/>
  <c r="Q286" i="1"/>
  <c r="E286" i="1"/>
  <c r="D286" i="1"/>
  <c r="H286" i="1"/>
  <c r="G286" i="1"/>
  <c r="D176" i="1"/>
  <c r="G299" i="1"/>
  <c r="F299" i="1"/>
  <c r="R299" i="1"/>
  <c r="E299" i="1"/>
  <c r="Q299" i="1"/>
  <c r="S299" i="1"/>
  <c r="H299" i="1"/>
  <c r="D299" i="1"/>
  <c r="I299" i="1"/>
  <c r="J299" i="1"/>
  <c r="H250" i="1"/>
  <c r="J250" i="1"/>
  <c r="D250" i="1"/>
  <c r="Q250" i="1"/>
  <c r="S250" i="1"/>
  <c r="E250" i="1"/>
  <c r="R250" i="1"/>
  <c r="G250" i="1"/>
  <c r="I250" i="1"/>
  <c r="C250" i="1"/>
  <c r="F250" i="1"/>
  <c r="G262" i="1"/>
  <c r="H262" i="1"/>
  <c r="C262" i="1"/>
  <c r="Q262" i="1"/>
  <c r="F262" i="1"/>
  <c r="D262" i="1"/>
  <c r="S262" i="1"/>
  <c r="R262" i="1"/>
  <c r="J262" i="1"/>
  <c r="I262" i="1"/>
  <c r="E262" i="1"/>
  <c r="S267" i="1"/>
  <c r="G267" i="1"/>
  <c r="E267" i="1"/>
  <c r="I267" i="1"/>
  <c r="H267" i="1"/>
  <c r="Q267" i="1"/>
  <c r="D267" i="1"/>
  <c r="F267" i="1"/>
  <c r="J267" i="1"/>
  <c r="R267" i="1"/>
  <c r="C300" i="1"/>
  <c r="F300" i="1"/>
  <c r="R300" i="1"/>
  <c r="I300" i="1"/>
  <c r="H300" i="1"/>
  <c r="Q300" i="1"/>
  <c r="G300" i="1"/>
  <c r="S300" i="1"/>
  <c r="E300" i="1"/>
  <c r="J300" i="1"/>
  <c r="D300" i="1"/>
  <c r="S255" i="1"/>
  <c r="H255" i="1"/>
  <c r="J255" i="1"/>
  <c r="D255" i="1"/>
  <c r="R255" i="1"/>
  <c r="I255" i="1"/>
  <c r="Q255" i="1"/>
  <c r="C255" i="1"/>
  <c r="G255" i="1"/>
  <c r="E255" i="1"/>
  <c r="F255" i="1"/>
  <c r="S254" i="1"/>
  <c r="Q254" i="1"/>
  <c r="R254" i="1"/>
  <c r="R258" i="1"/>
  <c r="E258" i="1"/>
  <c r="F258" i="1"/>
  <c r="J258" i="1"/>
  <c r="G258" i="1"/>
  <c r="Q258" i="1"/>
  <c r="C258" i="1"/>
  <c r="S258" i="1"/>
  <c r="H258" i="1"/>
  <c r="I258" i="1"/>
  <c r="D258" i="1"/>
  <c r="G248" i="1"/>
  <c r="Q248" i="1"/>
  <c r="I248" i="1"/>
  <c r="S248" i="1"/>
  <c r="C248" i="1"/>
  <c r="H248" i="1"/>
  <c r="F248" i="1"/>
  <c r="D248" i="1"/>
  <c r="E248" i="1"/>
  <c r="R248" i="1"/>
  <c r="J248" i="1"/>
  <c r="S277" i="1"/>
  <c r="J277" i="1"/>
  <c r="G277" i="1"/>
  <c r="E277" i="1"/>
  <c r="F277" i="1"/>
  <c r="H277" i="1"/>
  <c r="D277" i="1"/>
  <c r="I277" i="1"/>
  <c r="Q277" i="1"/>
  <c r="R277" i="1"/>
  <c r="E270" i="1"/>
  <c r="D270" i="1"/>
  <c r="J270" i="1"/>
  <c r="R270" i="1"/>
  <c r="Q270" i="1"/>
  <c r="H270" i="1"/>
  <c r="I270" i="1"/>
  <c r="F270" i="1"/>
  <c r="C270" i="1"/>
  <c r="S270" i="1"/>
  <c r="G270" i="1"/>
  <c r="F276" i="1"/>
  <c r="G276" i="1"/>
  <c r="C276" i="1"/>
  <c r="Q276" i="1"/>
  <c r="J276" i="1"/>
  <c r="D276" i="1"/>
  <c r="E276" i="1"/>
  <c r="R276" i="1"/>
  <c r="H276" i="1"/>
  <c r="I276" i="1"/>
  <c r="S276" i="1"/>
  <c r="H279" i="1"/>
  <c r="F279" i="1"/>
  <c r="S279" i="1"/>
  <c r="R279" i="1"/>
  <c r="D279" i="1"/>
  <c r="G279" i="1"/>
  <c r="Q279" i="1"/>
  <c r="I279" i="1"/>
  <c r="E279" i="1"/>
  <c r="I314" i="1"/>
  <c r="F314" i="1"/>
  <c r="C314" i="1"/>
  <c r="E314" i="1"/>
  <c r="G314" i="1"/>
  <c r="J314" i="1"/>
  <c r="D314" i="1"/>
  <c r="S314" i="1"/>
  <c r="R314" i="1"/>
  <c r="Q314" i="1"/>
  <c r="H314" i="1"/>
  <c r="S308" i="1"/>
  <c r="G308" i="1"/>
  <c r="Q308" i="1"/>
  <c r="E308" i="1"/>
  <c r="D308" i="1"/>
  <c r="R308" i="1"/>
  <c r="H308" i="1"/>
  <c r="F308" i="1"/>
  <c r="I308" i="1"/>
  <c r="C308" i="1"/>
  <c r="J308" i="1"/>
  <c r="G259" i="1"/>
  <c r="S259" i="1"/>
  <c r="F259" i="1"/>
  <c r="D259" i="1"/>
  <c r="R259" i="1"/>
  <c r="Q259" i="1"/>
  <c r="H259" i="1"/>
  <c r="E259" i="1"/>
  <c r="J259" i="1"/>
  <c r="I259" i="1"/>
  <c r="R268" i="1"/>
  <c r="G268" i="1"/>
  <c r="F268" i="1"/>
  <c r="D268" i="1"/>
  <c r="C268" i="1"/>
  <c r="S268" i="1"/>
  <c r="E268" i="1"/>
  <c r="J268" i="1"/>
  <c r="I268" i="1"/>
  <c r="Q268" i="1"/>
  <c r="H268" i="1"/>
  <c r="J306" i="1"/>
  <c r="I306" i="1"/>
  <c r="R306" i="1"/>
  <c r="S306" i="1"/>
  <c r="C306" i="1"/>
  <c r="H306" i="1"/>
  <c r="Q306" i="1"/>
  <c r="F306" i="1"/>
  <c r="E306" i="1"/>
  <c r="G306" i="1"/>
  <c r="D306" i="1"/>
  <c r="J271" i="1"/>
  <c r="R271" i="1"/>
  <c r="S271" i="1"/>
  <c r="I271" i="1"/>
  <c r="H271" i="1"/>
  <c r="G271" i="1"/>
  <c r="D271" i="1"/>
  <c r="F271" i="1"/>
  <c r="Q271" i="1"/>
  <c r="E271" i="1"/>
  <c r="R305" i="1"/>
  <c r="J305" i="1"/>
  <c r="Q305" i="1"/>
  <c r="F305" i="1"/>
  <c r="G305" i="1"/>
  <c r="S305" i="1"/>
  <c r="E305" i="1"/>
  <c r="D305" i="1"/>
  <c r="H305" i="1"/>
  <c r="I305" i="1"/>
  <c r="J298" i="1"/>
  <c r="F298" i="1"/>
  <c r="S298" i="1"/>
  <c r="E298" i="1"/>
  <c r="Q298" i="1"/>
  <c r="C298" i="1"/>
  <c r="D298" i="1"/>
  <c r="G298" i="1"/>
  <c r="I298" i="1"/>
  <c r="H298" i="1"/>
  <c r="R298" i="1"/>
  <c r="D304" i="1"/>
  <c r="C304" i="1"/>
  <c r="J304" i="1"/>
  <c r="H304" i="1"/>
  <c r="Q304" i="1"/>
  <c r="G304" i="1"/>
  <c r="F304" i="1"/>
  <c r="S304" i="1"/>
  <c r="I304" i="1"/>
  <c r="E304" i="1"/>
  <c r="R304" i="1"/>
  <c r="H307" i="1"/>
  <c r="I307" i="1"/>
  <c r="S307" i="1"/>
  <c r="D307" i="1"/>
  <c r="F307" i="1"/>
  <c r="R307" i="1"/>
  <c r="E307" i="1"/>
  <c r="Q307" i="1"/>
  <c r="G307" i="1"/>
  <c r="H269" i="1"/>
  <c r="R269" i="1"/>
  <c r="C269" i="1"/>
  <c r="F269" i="1"/>
  <c r="J269" i="1"/>
  <c r="I269" i="1"/>
  <c r="S269" i="1"/>
  <c r="G269" i="1"/>
  <c r="E269" i="1"/>
  <c r="Q269" i="1"/>
  <c r="D269" i="1"/>
  <c r="R266" i="1"/>
  <c r="J266" i="1"/>
  <c r="I266" i="1"/>
  <c r="D266" i="1"/>
  <c r="C266" i="1"/>
  <c r="H266" i="1"/>
  <c r="G266" i="1"/>
  <c r="F266" i="1"/>
  <c r="Q266" i="1"/>
  <c r="S266" i="1"/>
  <c r="E266" i="1"/>
  <c r="J287" i="1"/>
  <c r="G287" i="1"/>
  <c r="D287" i="1"/>
  <c r="F287" i="1"/>
  <c r="S287" i="1"/>
  <c r="E287" i="1"/>
  <c r="Q287" i="1"/>
  <c r="I287" i="1"/>
  <c r="H287" i="1"/>
  <c r="R287" i="1"/>
  <c r="D278" i="1"/>
  <c r="E278" i="1"/>
  <c r="S278" i="1"/>
  <c r="R278" i="1"/>
  <c r="H278" i="1"/>
  <c r="Q278" i="1"/>
  <c r="F278" i="1"/>
  <c r="G278" i="1"/>
  <c r="I278" i="1"/>
  <c r="J278" i="1"/>
  <c r="C278" i="1"/>
  <c r="I280" i="1"/>
  <c r="D280" i="1"/>
  <c r="G280" i="1"/>
  <c r="F280" i="1"/>
  <c r="E280" i="1"/>
  <c r="R280" i="1"/>
  <c r="H280" i="1"/>
  <c r="J280" i="1"/>
  <c r="C280" i="1"/>
  <c r="Q280" i="1"/>
  <c r="S280" i="1"/>
  <c r="G257" i="1"/>
  <c r="J257" i="1"/>
  <c r="I257" i="1"/>
  <c r="E257" i="1"/>
  <c r="H257" i="1"/>
  <c r="D257" i="1"/>
  <c r="S257" i="1"/>
  <c r="R257" i="1"/>
  <c r="F257" i="1"/>
  <c r="Q257" i="1"/>
  <c r="J263" i="1"/>
  <c r="R263" i="1"/>
  <c r="G263" i="1"/>
  <c r="D263" i="1"/>
  <c r="F263" i="1"/>
  <c r="I263" i="1"/>
  <c r="S263" i="1"/>
  <c r="E263" i="1"/>
  <c r="Q263" i="1"/>
  <c r="H263" i="1"/>
  <c r="R256" i="1"/>
  <c r="E256" i="1"/>
  <c r="D256" i="1"/>
  <c r="S256" i="1"/>
  <c r="H256" i="1"/>
  <c r="C256" i="1"/>
  <c r="F256" i="1"/>
  <c r="I256" i="1"/>
  <c r="G256" i="1"/>
  <c r="Q256" i="1"/>
  <c r="J256" i="1"/>
  <c r="I253" i="1"/>
  <c r="G253" i="1"/>
  <c r="H253" i="1"/>
  <c r="Q253" i="1"/>
  <c r="F253" i="1"/>
  <c r="R253" i="1"/>
  <c r="S253" i="1"/>
  <c r="J253" i="1"/>
  <c r="D253" i="1"/>
  <c r="E253" i="1"/>
  <c r="I265" i="1"/>
  <c r="E265" i="1"/>
  <c r="R265" i="1"/>
  <c r="D265" i="1"/>
  <c r="G265" i="1"/>
  <c r="F265" i="1"/>
  <c r="H265" i="1"/>
  <c r="S265" i="1"/>
  <c r="Q265" i="1"/>
  <c r="I297" i="1"/>
  <c r="J297" i="1"/>
  <c r="H297" i="1"/>
  <c r="E297" i="1"/>
  <c r="S297" i="1"/>
  <c r="R297" i="1"/>
  <c r="F297" i="1"/>
  <c r="G297" i="1"/>
  <c r="C297" i="1"/>
  <c r="Q297" i="1"/>
  <c r="D297" i="1"/>
  <c r="J294" i="1"/>
  <c r="I294" i="1"/>
  <c r="S294" i="1"/>
  <c r="H294" i="1"/>
  <c r="G294" i="1"/>
  <c r="D294" i="1"/>
  <c r="R294" i="1"/>
  <c r="E294" i="1"/>
  <c r="Q294" i="1"/>
  <c r="F294" i="1"/>
  <c r="C294" i="1"/>
  <c r="S315" i="1"/>
  <c r="E315" i="1"/>
  <c r="R315" i="1"/>
  <c r="I315" i="1"/>
  <c r="H315" i="1"/>
  <c r="Q315" i="1"/>
  <c r="F315" i="1"/>
  <c r="J315" i="1"/>
  <c r="D315" i="1"/>
  <c r="G315" i="1"/>
  <c r="J252" i="1"/>
  <c r="E252" i="1"/>
  <c r="C252" i="1"/>
  <c r="G252" i="1"/>
  <c r="Q252" i="1"/>
  <c r="I252" i="1"/>
  <c r="S252" i="1"/>
  <c r="D252" i="1"/>
  <c r="F252" i="1"/>
  <c r="H252" i="1"/>
  <c r="R252" i="1"/>
  <c r="G296" i="1"/>
  <c r="S296" i="1"/>
  <c r="J296" i="1"/>
  <c r="F296" i="1"/>
  <c r="I296" i="1"/>
  <c r="H296" i="1"/>
  <c r="E296" i="1"/>
  <c r="Q296" i="1"/>
  <c r="R296" i="1"/>
  <c r="D296" i="1"/>
  <c r="C296" i="1"/>
  <c r="C178" i="1"/>
  <c r="F170" i="1"/>
  <c r="H285" i="1"/>
  <c r="F285" i="1"/>
  <c r="R285" i="1"/>
  <c r="J285" i="1"/>
  <c r="I285" i="1"/>
  <c r="Q285" i="1"/>
  <c r="G285" i="1"/>
  <c r="S285" i="1"/>
  <c r="E285" i="1"/>
  <c r="D285" i="1"/>
  <c r="D264" i="1"/>
  <c r="C264" i="1"/>
  <c r="I264" i="1"/>
  <c r="H264" i="1"/>
  <c r="Q264" i="1"/>
  <c r="F264" i="1"/>
  <c r="J264" i="1"/>
  <c r="R264" i="1"/>
  <c r="G264" i="1"/>
  <c r="E264" i="1"/>
  <c r="S264" i="1"/>
  <c r="E284" i="1"/>
  <c r="H284" i="1"/>
  <c r="J284" i="1"/>
  <c r="S284" i="1"/>
  <c r="I284" i="1"/>
  <c r="C284" i="1"/>
  <c r="R284" i="1"/>
  <c r="G284" i="1"/>
  <c r="D284" i="1"/>
  <c r="F284" i="1"/>
  <c r="Q284" i="1"/>
  <c r="F309" i="1"/>
  <c r="J309" i="1"/>
  <c r="I309" i="1"/>
  <c r="R309" i="1"/>
  <c r="G309" i="1"/>
  <c r="S309" i="1"/>
  <c r="D309" i="1"/>
  <c r="H309" i="1"/>
  <c r="Q309" i="1"/>
  <c r="E309" i="1"/>
  <c r="G293" i="1"/>
  <c r="H293" i="1"/>
  <c r="S293" i="1"/>
  <c r="F293" i="1"/>
  <c r="D293" i="1"/>
  <c r="I293" i="1"/>
  <c r="Q293" i="1"/>
  <c r="E293" i="1"/>
  <c r="R293" i="1"/>
  <c r="C283" i="1"/>
  <c r="Q283" i="1"/>
  <c r="S283" i="1"/>
  <c r="F283" i="1"/>
  <c r="H283" i="1"/>
  <c r="R283" i="1"/>
  <c r="G283" i="1"/>
  <c r="D283" i="1"/>
  <c r="E283" i="1"/>
  <c r="I283" i="1"/>
  <c r="J283" i="1"/>
  <c r="Q282" i="1"/>
  <c r="F282" i="1"/>
  <c r="G282" i="1"/>
  <c r="R282" i="1"/>
  <c r="D282" i="1"/>
  <c r="S282" i="1"/>
  <c r="J282" i="1"/>
  <c r="C282" i="1"/>
  <c r="I282" i="1"/>
  <c r="E282" i="1"/>
  <c r="H282" i="1"/>
  <c r="H273" i="1"/>
  <c r="G273" i="1"/>
  <c r="J273" i="1"/>
  <c r="D273" i="1"/>
  <c r="I273" i="1"/>
  <c r="R273" i="1"/>
  <c r="F273" i="1"/>
  <c r="Q273" i="1"/>
  <c r="S273" i="1"/>
  <c r="E273" i="1"/>
  <c r="R291" i="1"/>
  <c r="S291" i="1"/>
  <c r="I291" i="1"/>
  <c r="E291" i="1"/>
  <c r="H291" i="1"/>
  <c r="J291" i="1"/>
  <c r="Q291" i="1"/>
  <c r="D291" i="1"/>
  <c r="F291" i="1"/>
  <c r="G291" i="1"/>
  <c r="R295" i="1"/>
  <c r="G295" i="1"/>
  <c r="H295" i="1"/>
  <c r="I295" i="1"/>
  <c r="S295" i="1"/>
  <c r="Q295" i="1"/>
  <c r="F295" i="1"/>
  <c r="E295" i="1"/>
  <c r="J295" i="1"/>
  <c r="D295" i="1"/>
  <c r="F249" i="1"/>
  <c r="Q249" i="1"/>
  <c r="R249" i="1"/>
  <c r="G249" i="1"/>
  <c r="J249" i="1"/>
  <c r="D249" i="1"/>
  <c r="H249" i="1"/>
  <c r="S249" i="1"/>
  <c r="I249" i="1"/>
  <c r="E249" i="1"/>
  <c r="I251" i="1"/>
  <c r="Q251" i="1"/>
  <c r="E251" i="1"/>
  <c r="D251" i="1"/>
  <c r="G251" i="1"/>
  <c r="R251" i="1"/>
  <c r="F251" i="1"/>
  <c r="S251" i="1"/>
  <c r="H251" i="1"/>
  <c r="F178" i="1"/>
  <c r="D313" i="1"/>
  <c r="G313" i="1"/>
  <c r="E313" i="1"/>
  <c r="H313" i="1"/>
  <c r="Q313" i="1"/>
  <c r="F313" i="1"/>
  <c r="R313" i="1"/>
  <c r="S313" i="1"/>
  <c r="J313" i="1"/>
  <c r="I313" i="1"/>
  <c r="J292" i="1"/>
  <c r="F292" i="1"/>
  <c r="R292" i="1"/>
  <c r="S292" i="1"/>
  <c r="G292" i="1"/>
  <c r="I292" i="1"/>
  <c r="H292" i="1"/>
  <c r="C292" i="1"/>
  <c r="Q292" i="1"/>
  <c r="E292" i="1"/>
  <c r="D292" i="1"/>
  <c r="G312" i="1"/>
  <c r="I312" i="1"/>
  <c r="E312" i="1"/>
  <c r="C312" i="1"/>
  <c r="H312" i="1"/>
  <c r="R312" i="1"/>
  <c r="J312" i="1"/>
  <c r="D312" i="1"/>
  <c r="S312" i="1"/>
  <c r="Q312" i="1"/>
  <c r="F312" i="1"/>
  <c r="J281" i="1"/>
  <c r="D281" i="1"/>
  <c r="R281" i="1"/>
  <c r="Q281" i="1"/>
  <c r="I281" i="1"/>
  <c r="G281" i="1"/>
  <c r="H281" i="1"/>
  <c r="E281" i="1"/>
  <c r="F281" i="1"/>
  <c r="S281" i="1"/>
  <c r="C272" i="1"/>
  <c r="I272" i="1"/>
  <c r="D272" i="1"/>
  <c r="H272" i="1"/>
  <c r="R272" i="1"/>
  <c r="F272" i="1"/>
  <c r="G272" i="1"/>
  <c r="Q272" i="1"/>
  <c r="S272" i="1"/>
  <c r="J272" i="1"/>
  <c r="E272" i="1"/>
  <c r="C311" i="1"/>
  <c r="S311" i="1"/>
  <c r="R311" i="1"/>
  <c r="Q311" i="1"/>
  <c r="F311" i="1"/>
  <c r="H311" i="1"/>
  <c r="J311" i="1"/>
  <c r="E311" i="1"/>
  <c r="G311" i="1"/>
  <c r="I311" i="1"/>
  <c r="D311" i="1"/>
  <c r="F310" i="1"/>
  <c r="I310" i="1"/>
  <c r="H310" i="1"/>
  <c r="R310" i="1"/>
  <c r="S310" i="1"/>
  <c r="G310" i="1"/>
  <c r="D310" i="1"/>
  <c r="Q310" i="1"/>
  <c r="C310" i="1"/>
  <c r="E310" i="1"/>
  <c r="J310" i="1"/>
  <c r="D301" i="1"/>
  <c r="R301" i="1"/>
  <c r="J301" i="1"/>
  <c r="G301" i="1"/>
  <c r="Q301" i="1"/>
  <c r="S301" i="1"/>
  <c r="E301" i="1"/>
  <c r="I301" i="1"/>
  <c r="F301" i="1"/>
  <c r="H301" i="1"/>
  <c r="E170" i="1"/>
  <c r="C170" i="1"/>
  <c r="D178" i="1"/>
  <c r="C176" i="1"/>
  <c r="C175" i="1"/>
  <c r="F176" i="1"/>
  <c r="H68" i="1"/>
  <c r="C56" i="1"/>
  <c r="D154" i="1"/>
  <c r="F157" i="1"/>
  <c r="G157" i="1"/>
  <c r="F154" i="1"/>
  <c r="E154" i="1"/>
  <c r="D157" i="1"/>
  <c r="G154" i="1"/>
  <c r="C157" i="1"/>
  <c r="D161" i="1"/>
  <c r="C161" i="1"/>
  <c r="F141" i="1"/>
  <c r="J146" i="1"/>
  <c r="K146" i="1"/>
  <c r="L146" i="1"/>
  <c r="D162" i="1"/>
  <c r="F169" i="1"/>
  <c r="J138" i="1"/>
  <c r="K138" i="1"/>
  <c r="L138" i="1"/>
  <c r="G155" i="1"/>
  <c r="D177" i="1"/>
  <c r="F155" i="1"/>
  <c r="E169" i="1"/>
  <c r="J147" i="1"/>
  <c r="K147" i="1"/>
  <c r="L147" i="1"/>
  <c r="J149" i="1"/>
  <c r="K149" i="1"/>
  <c r="L149" i="1"/>
  <c r="C162" i="1"/>
  <c r="F175" i="1"/>
  <c r="F177" i="1"/>
  <c r="G163" i="1"/>
  <c r="C169" i="1"/>
  <c r="C177" i="1"/>
  <c r="E175" i="1"/>
  <c r="G162" i="1"/>
  <c r="J145" i="1"/>
  <c r="K145" i="1"/>
  <c r="L145" i="1"/>
  <c r="E162" i="1"/>
  <c r="D129" i="1"/>
  <c r="D163" i="1"/>
  <c r="E155" i="1"/>
  <c r="D155" i="1"/>
  <c r="C165" i="1"/>
  <c r="G165" i="1"/>
  <c r="E130" i="1"/>
  <c r="F165" i="1"/>
  <c r="J140" i="1"/>
  <c r="K140" i="1"/>
  <c r="L140" i="1"/>
  <c r="J142" i="1"/>
  <c r="K142" i="1"/>
  <c r="L142" i="1"/>
  <c r="D165" i="1"/>
  <c r="C163" i="1"/>
  <c r="F163" i="1"/>
  <c r="F161" i="1"/>
  <c r="G158" i="1"/>
  <c r="C158" i="1"/>
  <c r="F158" i="1"/>
  <c r="E158" i="1"/>
  <c r="D158" i="1"/>
  <c r="J144" i="1"/>
  <c r="K144" i="1"/>
  <c r="L144" i="1"/>
  <c r="F180" i="1"/>
  <c r="E180" i="1"/>
  <c r="D180" i="1"/>
  <c r="C180" i="1"/>
  <c r="J143" i="1"/>
  <c r="K143" i="1"/>
  <c r="L143" i="1"/>
  <c r="G161" i="1"/>
  <c r="F159" i="1"/>
  <c r="E159" i="1"/>
  <c r="G159" i="1"/>
  <c r="C159" i="1"/>
  <c r="D159" i="1"/>
  <c r="J139" i="1"/>
  <c r="K139" i="1"/>
  <c r="L139" i="1"/>
  <c r="C128" i="1"/>
  <c r="J148" i="1"/>
  <c r="K148" i="1"/>
  <c r="L148" i="1"/>
  <c r="C156" i="1"/>
  <c r="G156" i="1"/>
  <c r="E156" i="1"/>
  <c r="F156" i="1"/>
  <c r="D156" i="1"/>
  <c r="C164" i="1"/>
  <c r="G164" i="1"/>
  <c r="E164" i="1"/>
  <c r="F164" i="1"/>
  <c r="D164" i="1"/>
  <c r="C173" i="1"/>
  <c r="E173" i="1"/>
  <c r="D173" i="1"/>
  <c r="F173" i="1"/>
  <c r="E171" i="1"/>
  <c r="D171" i="1"/>
  <c r="C171" i="1"/>
  <c r="F171" i="1"/>
  <c r="G132" i="1"/>
  <c r="E179" i="1"/>
  <c r="D179" i="1"/>
  <c r="C179" i="1"/>
  <c r="F179" i="1"/>
  <c r="F174" i="1"/>
  <c r="C174" i="1"/>
  <c r="E174" i="1"/>
  <c r="D174" i="1"/>
  <c r="E172" i="1"/>
  <c r="D172" i="1"/>
  <c r="F172" i="1"/>
  <c r="C172" i="1"/>
  <c r="C160" i="1"/>
  <c r="G160" i="1"/>
  <c r="E160" i="1"/>
  <c r="F160" i="1"/>
  <c r="D160" i="1"/>
  <c r="K253" i="1"/>
  <c r="K299" i="1"/>
  <c r="K278" i="1"/>
  <c r="K294" i="1"/>
  <c r="K272" i="1"/>
  <c r="K282" i="1"/>
  <c r="K296" i="1"/>
  <c r="E302" i="1"/>
  <c r="E323" i="1"/>
  <c r="K46" i="1"/>
  <c r="K301" i="1"/>
  <c r="K295" i="1"/>
  <c r="K293" i="1"/>
  <c r="K309" i="1"/>
  <c r="K315" i="1"/>
  <c r="J316" i="1"/>
  <c r="J324" i="1"/>
  <c r="P47" i="1"/>
  <c r="K298" i="1"/>
  <c r="K305" i="1"/>
  <c r="K306" i="1"/>
  <c r="K279" i="1"/>
  <c r="K258" i="1"/>
  <c r="K286" i="1"/>
  <c r="I302" i="1"/>
  <c r="I323" i="1"/>
  <c r="O46" i="1"/>
  <c r="E316" i="1"/>
  <c r="E324" i="1"/>
  <c r="K47" i="1"/>
  <c r="C316" i="1"/>
  <c r="C324" i="1"/>
  <c r="K304" i="1"/>
  <c r="K276" i="1"/>
  <c r="C288" i="1"/>
  <c r="C322" i="1"/>
  <c r="J260" i="1"/>
  <c r="J320" i="1"/>
  <c r="I260" i="1"/>
  <c r="I320" i="1"/>
  <c r="E274" i="1"/>
  <c r="E321" i="1"/>
  <c r="K44" i="1"/>
  <c r="K262" i="1"/>
  <c r="C274" i="1"/>
  <c r="C321" i="1"/>
  <c r="K281" i="1"/>
  <c r="K292" i="1"/>
  <c r="K251" i="1"/>
  <c r="K249" i="1"/>
  <c r="K273" i="1"/>
  <c r="I316" i="1"/>
  <c r="I324" i="1"/>
  <c r="O47" i="1"/>
  <c r="D316" i="1"/>
  <c r="D324" i="1"/>
  <c r="J47" i="1"/>
  <c r="I288" i="1"/>
  <c r="I322" i="1"/>
  <c r="O45" i="1"/>
  <c r="G288" i="1"/>
  <c r="G322" i="1"/>
  <c r="M45" i="1"/>
  <c r="K277" i="1"/>
  <c r="K267" i="1"/>
  <c r="I274" i="1"/>
  <c r="I321" i="1"/>
  <c r="O44" i="1"/>
  <c r="H274" i="1"/>
  <c r="H321" i="1"/>
  <c r="N44" i="1"/>
  <c r="K310" i="1"/>
  <c r="K312" i="1"/>
  <c r="K264" i="1"/>
  <c r="K257" i="1"/>
  <c r="K280" i="1"/>
  <c r="K271" i="1"/>
  <c r="K308" i="1"/>
  <c r="H288" i="1"/>
  <c r="H322" i="1"/>
  <c r="N45" i="1"/>
  <c r="F288" i="1"/>
  <c r="F322" i="1"/>
  <c r="L45" i="1"/>
  <c r="E260" i="1"/>
  <c r="E320" i="1"/>
  <c r="G260" i="1"/>
  <c r="G320" i="1"/>
  <c r="J274" i="1"/>
  <c r="J321" i="1"/>
  <c r="P44" i="1"/>
  <c r="G274" i="1"/>
  <c r="G321" i="1"/>
  <c r="M44" i="1"/>
  <c r="K291" i="1"/>
  <c r="K283" i="1"/>
  <c r="K284" i="1"/>
  <c r="K252" i="1"/>
  <c r="K265" i="1"/>
  <c r="K269" i="1"/>
  <c r="K307" i="1"/>
  <c r="F316" i="1"/>
  <c r="F324" i="1"/>
  <c r="L47" i="1"/>
  <c r="D260" i="1"/>
  <c r="D320" i="1"/>
  <c r="G302" i="1"/>
  <c r="G323" i="1"/>
  <c r="M46" i="1"/>
  <c r="K285" i="1"/>
  <c r="G316" i="1"/>
  <c r="G324" i="1"/>
  <c r="M47" i="1"/>
  <c r="K314" i="1"/>
  <c r="E288" i="1"/>
  <c r="E322" i="1"/>
  <c r="K45" i="1"/>
  <c r="F260" i="1"/>
  <c r="F320" i="1"/>
  <c r="K255" i="1"/>
  <c r="K250" i="1"/>
  <c r="K290" i="1"/>
  <c r="C302" i="1"/>
  <c r="C323" i="1"/>
  <c r="H302" i="1"/>
  <c r="H323" i="1"/>
  <c r="N46" i="1"/>
  <c r="K311" i="1"/>
  <c r="K313" i="1"/>
  <c r="K297" i="1"/>
  <c r="K287" i="1"/>
  <c r="K259" i="1"/>
  <c r="D288" i="1"/>
  <c r="D322" i="1"/>
  <c r="J45" i="1"/>
  <c r="K270" i="1"/>
  <c r="H260" i="1"/>
  <c r="H320" i="1"/>
  <c r="K300" i="1"/>
  <c r="D274" i="1"/>
  <c r="D321" i="1"/>
  <c r="J44" i="1"/>
  <c r="J302" i="1"/>
  <c r="J323" i="1"/>
  <c r="P46" i="1"/>
  <c r="K256" i="1"/>
  <c r="K263" i="1"/>
  <c r="K266" i="1"/>
  <c r="H316" i="1"/>
  <c r="H324" i="1"/>
  <c r="N47" i="1"/>
  <c r="K268" i="1"/>
  <c r="J288" i="1"/>
  <c r="J322" i="1"/>
  <c r="P45" i="1"/>
  <c r="K248" i="1"/>
  <c r="C260" i="1"/>
  <c r="C320" i="1"/>
  <c r="F274" i="1"/>
  <c r="F321" i="1"/>
  <c r="L44" i="1"/>
  <c r="D302" i="1"/>
  <c r="D323" i="1"/>
  <c r="J46" i="1"/>
  <c r="F302" i="1"/>
  <c r="F323" i="1"/>
  <c r="L46" i="1"/>
  <c r="F131" i="1"/>
  <c r="M59" i="1"/>
  <c r="M68" i="1"/>
  <c r="D47" i="1"/>
  <c r="C57" i="1"/>
  <c r="C59" i="1"/>
  <c r="C12" i="1"/>
  <c r="E53" i="4"/>
  <c r="K53" i="4"/>
  <c r="C60" i="1"/>
  <c r="C58" i="1"/>
  <c r="C55" i="1"/>
  <c r="J141" i="1"/>
  <c r="K141" i="1"/>
  <c r="L141" i="1"/>
  <c r="F50" i="1"/>
  <c r="F51" i="1"/>
  <c r="D45" i="1"/>
  <c r="D44" i="1"/>
  <c r="F52" i="1"/>
  <c r="D52" i="1"/>
  <c r="D51" i="1"/>
  <c r="D49" i="1"/>
  <c r="I18" i="1"/>
  <c r="D50" i="1"/>
  <c r="D43" i="1"/>
  <c r="C8" i="1"/>
  <c r="E48" i="4"/>
  <c r="K48" i="4"/>
  <c r="E12" i="1"/>
  <c r="C11" i="1"/>
  <c r="I47" i="1"/>
  <c r="K324" i="1"/>
  <c r="Q47" i="1"/>
  <c r="I46" i="1"/>
  <c r="K323" i="1"/>
  <c r="Q46" i="1"/>
  <c r="I43" i="1"/>
  <c r="C325" i="1"/>
  <c r="I48" i="1"/>
  <c r="K320" i="1"/>
  <c r="Q43" i="1"/>
  <c r="L43" i="1"/>
  <c r="F325" i="1"/>
  <c r="L48" i="1"/>
  <c r="M43" i="1"/>
  <c r="G325" i="1"/>
  <c r="M48" i="1"/>
  <c r="P43" i="1"/>
  <c r="J325" i="1"/>
  <c r="P48" i="1"/>
  <c r="O43" i="1"/>
  <c r="I325" i="1"/>
  <c r="O48" i="1"/>
  <c r="J43" i="1"/>
  <c r="D325" i="1"/>
  <c r="J48" i="1"/>
  <c r="I45" i="1"/>
  <c r="K322" i="1"/>
  <c r="Q45" i="1"/>
  <c r="I44" i="1"/>
  <c r="K321" i="1"/>
  <c r="Q44" i="1"/>
  <c r="K43" i="1"/>
  <c r="E325" i="1"/>
  <c r="K48" i="1"/>
  <c r="N43" i="1"/>
  <c r="H325" i="1"/>
  <c r="N48" i="1"/>
  <c r="D46" i="1"/>
  <c r="E47" i="1"/>
  <c r="C9" i="1"/>
  <c r="E50" i="4"/>
  <c r="K50" i="4"/>
  <c r="D42" i="1"/>
  <c r="C10" i="1"/>
  <c r="E49" i="4"/>
  <c r="K49" i="4"/>
  <c r="F49" i="1"/>
  <c r="E46" i="4"/>
  <c r="E47" i="4"/>
  <c r="K47" i="4"/>
  <c r="E11" i="1"/>
  <c r="C14" i="1"/>
  <c r="G8" i="1"/>
  <c r="E10" i="1"/>
  <c r="E9" i="1"/>
  <c r="E8" i="1"/>
  <c r="K46" i="4"/>
  <c r="E19" i="4"/>
  <c r="E21" i="4"/>
  <c r="E26" i="4"/>
  <c r="K26" i="4"/>
  <c r="G12" i="1"/>
  <c r="C61" i="4"/>
  <c r="G10" i="1"/>
  <c r="F42" i="4"/>
  <c r="H42" i="4"/>
  <c r="K42" i="4"/>
  <c r="K31" i="4"/>
  <c r="H32" i="4"/>
  <c r="K32" i="4"/>
  <c r="F30" i="4"/>
  <c r="H30" i="4"/>
  <c r="K30" i="4"/>
  <c r="E34" i="4"/>
  <c r="K54" i="4"/>
  <c r="K58" i="4"/>
  <c r="K57" i="4"/>
  <c r="K60" i="4"/>
  <c r="K132" i="4"/>
  <c r="K134" i="4"/>
  <c r="K133" i="4"/>
  <c r="K136" i="4"/>
  <c r="K139" i="4"/>
  <c r="K129" i="4"/>
  <c r="K128" i="4"/>
  <c r="H136" i="4"/>
  <c r="H137" i="4"/>
  <c r="H138" i="4"/>
</calcChain>
</file>

<file path=xl/sharedStrings.xml><?xml version="1.0" encoding="utf-8"?>
<sst xmlns="http://schemas.openxmlformats.org/spreadsheetml/2006/main" count="1182" uniqueCount="380">
  <si>
    <t>Valtion yhteiskäyttöiset työympäristöt</t>
  </si>
  <si>
    <t>Työkalu asiakaspalvelun tilatarpeen määrittelyyn ja toimistotilojen tilaohjelman laatimiseen</t>
  </si>
  <si>
    <t>Työkalu on tarkoitettu tilasuunnittelun asiantuntijoiden käyttöön tarveselvitys- ja hankesuunnitteluvaiheissa</t>
  </si>
  <si>
    <r>
      <rPr>
        <sz val="12"/>
        <color rgb="FFFF0000"/>
        <rFont val="Calibri (Body)"/>
      </rPr>
      <t>SYÖTE 1/3:</t>
    </r>
    <r>
      <rPr>
        <sz val="12"/>
        <color theme="1"/>
        <rFont val="Calibri"/>
        <family val="2"/>
        <scheme val="minor"/>
      </rPr>
      <t xml:space="preserve"> Onko organisaatio mukana yhteisessä asiakas-palvelupisteessä?</t>
    </r>
  </si>
  <si>
    <r>
      <rPr>
        <sz val="12"/>
        <color rgb="FFFF0000"/>
        <rFont val="Calibri (Body)"/>
      </rPr>
      <t xml:space="preserve">SYÖTE 2/3: </t>
    </r>
    <r>
      <rPr>
        <sz val="12"/>
        <color theme="1"/>
        <rFont val="Calibri"/>
        <family val="2"/>
        <scheme val="minor"/>
      </rPr>
      <t xml:space="preserve">Organisaation  käyntiasiakkaiden määrä </t>
    </r>
    <r>
      <rPr>
        <b/>
        <sz val="12"/>
        <color theme="1"/>
        <rFont val="Calibri"/>
        <family val="2"/>
        <scheme val="minor"/>
      </rPr>
      <t>viikossa</t>
    </r>
  </si>
  <si>
    <r>
      <rPr>
        <sz val="12"/>
        <color rgb="FFFF0000"/>
        <rFont val="Calibri (Body)"/>
      </rPr>
      <t xml:space="preserve">SYÖTE 3/3: </t>
    </r>
    <r>
      <rPr>
        <sz val="12"/>
        <color theme="1"/>
        <rFont val="Calibri"/>
        <family val="2"/>
        <scheme val="minor"/>
      </rPr>
      <t>Toimipisteen htv ja työpisteiden määrä/htv (%)</t>
    </r>
  </si>
  <si>
    <t>AVI</t>
  </si>
  <si>
    <t>x</t>
  </si>
  <si>
    <t>Htv</t>
  </si>
  <si>
    <t>DVV</t>
  </si>
  <si>
    <t>Työpisteitä</t>
  </si>
  <si>
    <t>ELY</t>
  </si>
  <si>
    <t>Taustatyötilat</t>
  </si>
  <si>
    <t>KELA</t>
  </si>
  <si>
    <t>Yhteensä</t>
  </si>
  <si>
    <t>MIGRI</t>
  </si>
  <si>
    <t>MML</t>
  </si>
  <si>
    <t>OA / EV</t>
  </si>
  <si>
    <t>POLIISI</t>
  </si>
  <si>
    <t>RISE</t>
  </si>
  <si>
    <t>TE</t>
  </si>
  <si>
    <t>UO</t>
  </si>
  <si>
    <t>VERO</t>
  </si>
  <si>
    <t>Arvioitu asiakaspalvelijatarve asiakaspalvelupisteille</t>
  </si>
  <si>
    <t>1,3 * asiakaspalvelupisteiden lukumäärä - etäpalveluhuoneiden lukumäärä</t>
  </si>
  <si>
    <t>Lisäpaikat (50 % neuvotteluhuonekapasiteetista)</t>
  </si>
  <si>
    <t>Taustatyötilojen lukumäärä</t>
  </si>
  <si>
    <t>70 % asiakaspalvelijoiden lukumäärästä</t>
  </si>
  <si>
    <t>Vyöhyke</t>
  </si>
  <si>
    <t>Tilaryhmä</t>
  </si>
  <si>
    <t>Nro</t>
  </si>
  <si>
    <t>Tila</t>
  </si>
  <si>
    <t>Julkinen vyöhyke</t>
  </si>
  <si>
    <t>lkm</t>
  </si>
  <si>
    <t>hlöä tai tp á</t>
  </si>
  <si>
    <t>m2 á</t>
  </si>
  <si>
    <t>hlöä yht</t>
  </si>
  <si>
    <t>m2 yht</t>
  </si>
  <si>
    <t>Huom!</t>
  </si>
  <si>
    <t>lukumäärän mitoitusperuste</t>
  </si>
  <si>
    <t>m2/hlö tai tp</t>
  </si>
  <si>
    <t>Sisääntulo</t>
  </si>
  <si>
    <t>Aula</t>
  </si>
  <si>
    <t>m2/hlö</t>
  </si>
  <si>
    <t>21.1</t>
  </si>
  <si>
    <t>Vastaanottopiste / palveluinfo</t>
  </si>
  <si>
    <t>Eri aulapalvelija asiakkaille ja kokouskeskuksen vieraille. Heti sisääntulossa asiakasvirran ohjaaminen oikealle puolelle aulaan.</t>
  </si>
  <si>
    <t>palvelupistettä kohden yksi tila. Pyöristettynä alaspäin.</t>
  </si>
  <si>
    <t>m2/palvelupiste</t>
  </si>
  <si>
    <t>Vartiointi</t>
  </si>
  <si>
    <t>kappale sisäänkäyntiä kohden.</t>
  </si>
  <si>
    <t>Turvatarkastustila</t>
  </si>
  <si>
    <t>Odotusalue</t>
  </si>
  <si>
    <t>Odotustila, neuvontapisteet</t>
  </si>
  <si>
    <t>hlöä</t>
  </si>
  <si>
    <t xml:space="preserve">Arvioitu asiakastilassa odottavien asiakkaiden lukumäärä pyöristettynä ylöspäin. </t>
  </si>
  <si>
    <t>Pistäytymistilat</t>
  </si>
  <si>
    <t>asiakasta kohden yksi tila. Vähintään 2 kappaletta. Arvioitu asiakastilassa odottavien asiakkaiden lukumäärä.</t>
  </si>
  <si>
    <t>Odotusalueen tukitilat</t>
  </si>
  <si>
    <t xml:space="preserve">Tarkoituksenmukainen mitoitus ja tilojen monipuolisuus. Mitoitusarvio perustuu kokemuspohjaiseen tilasuunnitteluun. </t>
  </si>
  <si>
    <t xml:space="preserve">     Vaatesäilytys ja vaunuparkki</t>
  </si>
  <si>
    <t xml:space="preserve">     Wc:t</t>
  </si>
  <si>
    <t>Pinta-ala sisältyy odotusalueen tukitiloihin</t>
  </si>
  <si>
    <t>asiakasta kohden yksi tila. Pyöristettynä ylöspäin.</t>
  </si>
  <si>
    <t xml:space="preserve">     Esteettömät WC:t ja lastenhoitopiste.</t>
  </si>
  <si>
    <t>Kaksi kappaletta esteettömiä vessoja, joissa lastenhoitopiste.</t>
  </si>
  <si>
    <t xml:space="preserve">     Vesi- ja kahvipiste</t>
  </si>
  <si>
    <t xml:space="preserve">     Lasten leikkipiste</t>
  </si>
  <si>
    <t>Kahvila tai ravintola</t>
  </si>
  <si>
    <t>Ravintolasali</t>
  </si>
  <si>
    <t>Asiakaspaikkojen määrä arvioidaan hankekohtaisesti</t>
  </si>
  <si>
    <t>työpistemäärästä</t>
  </si>
  <si>
    <t>Keittiö</t>
  </si>
  <si>
    <t>salin pinta-alasta</t>
  </si>
  <si>
    <t>Muut</t>
  </si>
  <si>
    <t>Näyttelytila/tapahtumatori (optio)</t>
  </si>
  <si>
    <t>Arvioidaan hankekohtaisesti</t>
  </si>
  <si>
    <t>Monitoimitila (vihkitila)</t>
  </si>
  <si>
    <t>Asiakaspalvelupisteet</t>
  </si>
  <si>
    <t>Noutopisteet</t>
  </si>
  <si>
    <t>virastoa kohden yksi tila. Suhdeluku tulee arvioida hankekohtaisesti.</t>
  </si>
  <si>
    <t>Sermirakenteiset palvelupisteet</t>
  </si>
  <si>
    <t>Sermirakenteisten prosenttiosuus tarkastetaan hankekohtaisesti.</t>
  </si>
  <si>
    <t>palvelupisteiden kokonaismäärästä. Palvelutapahtumien määrä x tapahtuman kesto / aukioloaika.</t>
  </si>
  <si>
    <t>Huonerakenteiset palvelupisteet</t>
  </si>
  <si>
    <t>Huonerakenteisten prosenttiosuus tarkastetaan hankekohtaisesti.</t>
  </si>
  <si>
    <t>Etäpalveluhuoneet</t>
  </si>
  <si>
    <t>Tilassa ei fyysistä asiakaspalvelijaa.</t>
  </si>
  <si>
    <t>Palvelutapahtumien määrä x tapahtuman kesto / aukioloaika. Tarkistetaan hankekohtaisesti.</t>
  </si>
  <si>
    <t>Turvahuoneet</t>
  </si>
  <si>
    <t>21.2</t>
  </si>
  <si>
    <t>Neuvotteluhuoneet</t>
  </si>
  <si>
    <t>Itsepalvelualue</t>
  </si>
  <si>
    <t>Lomakepiste</t>
  </si>
  <si>
    <t>piste / itsepalvelualue</t>
  </si>
  <si>
    <t>Asiakaspäätteet</t>
  </si>
  <si>
    <t>Arvio asiakasvirrasta</t>
  </si>
  <si>
    <t>Hyötyala</t>
  </si>
  <si>
    <t>Käytävät ja väliseinät</t>
  </si>
  <si>
    <t>Käytävät</t>
  </si>
  <si>
    <t>Väliseinät</t>
  </si>
  <si>
    <t>Huoneistoala</t>
  </si>
  <si>
    <t>Asiakaspaikkoja</t>
  </si>
  <si>
    <t>Eri virastoja</t>
  </si>
  <si>
    <t>Puolijulkinen vyöhyke</t>
  </si>
  <si>
    <t>hlöä tai tp yht</t>
  </si>
  <si>
    <t>Kokouskeskuksessa henkilöitä samaan aikaan</t>
  </si>
  <si>
    <t>kokouskeskuksen paikkamäärästä</t>
  </si>
  <si>
    <t>Kokouskeskuksen aula</t>
  </si>
  <si>
    <t>WC:t</t>
  </si>
  <si>
    <t>vierasta kohden yksi tila</t>
  </si>
  <si>
    <t>Kokoustilat</t>
  </si>
  <si>
    <t>Auditorio</t>
  </si>
  <si>
    <t>Työpisteiden vähimmäismäärä</t>
  </si>
  <si>
    <t>työpistettä kohden yksi tila</t>
  </si>
  <si>
    <t>Suuri neuvotteluhuone (n. 15-30 hlöä)</t>
  </si>
  <si>
    <t>Osa tehdään projektitilan varustuksella. Neuvotteluhuoneet yhdistettävissä n. 60 hengen tilaksi.</t>
  </si>
  <si>
    <t>alkavaa työpistettä kohden yksi tila</t>
  </si>
  <si>
    <t>Keskikokoinen neuvotteluhuone (n. 12 hlöä)</t>
  </si>
  <si>
    <t>Osa tehdään projektitilan varustuksella.</t>
  </si>
  <si>
    <t>Pieni neuvotteluhuone (n. 6 hlöä)</t>
  </si>
  <si>
    <t>Studio</t>
  </si>
  <si>
    <t>höä</t>
  </si>
  <si>
    <t>Tapahtumatila</t>
  </si>
  <si>
    <t>Yhteiskehittelyalueen tai innovaatiolaboratorion tapahtumatila.</t>
  </si>
  <si>
    <t>Toimistotilat</t>
  </si>
  <si>
    <t>21</t>
  </si>
  <si>
    <t>Työpisteet vierailijoille</t>
  </si>
  <si>
    <t>tp</t>
  </si>
  <si>
    <t>Lukumäärä sisäisen alueen työpisteiden lisäksi.</t>
  </si>
  <si>
    <t>vierailijatyöpistettä kohden yksi tila</t>
  </si>
  <si>
    <t>sisäisen alueen työpisteistä</t>
  </si>
  <si>
    <t>m2/tp</t>
  </si>
  <si>
    <t>Huoneistoala / htv</t>
  </si>
  <si>
    <t>Huoneistoala / työpiste</t>
  </si>
  <si>
    <t>Sisäinen vyöhyke</t>
  </si>
  <si>
    <t>Kohtaamistilat</t>
  </si>
  <si>
    <t>Naulakot ja lokerot</t>
  </si>
  <si>
    <t>Työkahvila</t>
  </si>
  <si>
    <t>m2/paikka</t>
  </si>
  <si>
    <t>Sisäinen palvelupiste</t>
  </si>
  <si>
    <t>Palvelupiste</t>
  </si>
  <si>
    <t>Kohtaamistilojen yhteydessä, voi sijaita myös kokouskeskuksen sisäänkäynnin yhteydessä</t>
  </si>
  <si>
    <t>Palvelupisteen taustatyötila</t>
  </si>
  <si>
    <t>Palvelupisteen varasto</t>
  </si>
  <si>
    <t>Suuri neuvotteluhuone (n. 20 hlöä)</t>
  </si>
  <si>
    <t>Kohtaamistilojen yhteydessä, voi sijaita myös kokouskeskuksessa</t>
  </si>
  <si>
    <t>Kohtaamistilojen yhteydessä</t>
  </si>
  <si>
    <t>Työpistealueella tai kohtaamistilojen yhteydessä</t>
  </si>
  <si>
    <t>Työpisteet</t>
  </si>
  <si>
    <t>Avoin toimistotila</t>
  </si>
  <si>
    <t>Avoin käytävän suuntaan. Tiloja voi olla useampia kuin yksi.</t>
  </si>
  <si>
    <t>työpisteistä</t>
  </si>
  <si>
    <t>Suljettava toimistotila</t>
  </si>
  <si>
    <t>N. 6–24 työpisteen tiloja. Erotettu käytävästä ääntä eristävällä umpinaisella tai lasiseinällä.</t>
  </si>
  <si>
    <t>Pistäytymistila</t>
  </si>
  <si>
    <t>n. 4–6 m2, 1–3 hlön tiloja.</t>
  </si>
  <si>
    <t>Asiakaspalvelun taustatyötilat</t>
  </si>
  <si>
    <t>Avoin tila käytävän suuntaan. Tiloja voi olla useita.</t>
  </si>
  <si>
    <t xml:space="preserve">6–12 työpisteen tiloja. Erotettu käytävästä ääntä eristävällä umpinaisella tai lasiseinällä. </t>
  </si>
  <si>
    <t>Aputilat</t>
  </si>
  <si>
    <t>21.3</t>
  </si>
  <si>
    <t>Kopio, skannaus ja tulostus</t>
  </si>
  <si>
    <t>Jokaisessa kerroksessa vähintään yksi.</t>
  </si>
  <si>
    <t>Varasto</t>
  </si>
  <si>
    <t>Tarve selvitetään hankekohtaisesti. Virastoilla voi olla tarve omiin varastoihin.</t>
  </si>
  <si>
    <t>Puolijulkisen ja sisäisen vyöhykkeen huoneistoala yhteensä</t>
  </si>
  <si>
    <t>Kaikki huoneistoalat yhteensä</t>
  </si>
  <si>
    <t>Vyöhkyyeiden pinta-alat</t>
  </si>
  <si>
    <t>%</t>
  </si>
  <si>
    <t>m2</t>
  </si>
  <si>
    <t>Julkinen</t>
  </si>
  <si>
    <t>Puolijulkinen</t>
  </si>
  <si>
    <t>Sisäinen</t>
  </si>
  <si>
    <t>Kaikki yhteensä</t>
  </si>
  <si>
    <t>Työnteon paikkoja</t>
  </si>
  <si>
    <t>kpl</t>
  </si>
  <si>
    <t>Sisäiset kokoustilat</t>
  </si>
  <si>
    <t>Työkahvio</t>
  </si>
  <si>
    <t>Kokouskeskus</t>
  </si>
  <si>
    <t>TILAOHJELMA, VALMIITA OLETTAMUKSIA JA LASKENTOJA</t>
  </si>
  <si>
    <t>Tilaohjelma eli paljonko tiloja tarvitaan</t>
  </si>
  <si>
    <t>Tilamäärä = Palvelutilanteet*kesto+palvelutilanteet*siirtymämarginaali+spontaanit palvelutilanteet*jonotusaika</t>
  </si>
  <si>
    <t>Tietoa tukitilojen mitoitukseen</t>
  </si>
  <si>
    <t>Tilamäärä</t>
  </si>
  <si>
    <t>Tilakoko (à m2)</t>
  </si>
  <si>
    <t>Yhteensä (m2)</t>
  </si>
  <si>
    <t>Keskimäärin tunnissa tilaa tarvitsevien henkilöiden lukumäärä</t>
  </si>
  <si>
    <t>Etäpalveluhuone</t>
  </si>
  <si>
    <t>Neuvottelutila</t>
  </si>
  <si>
    <t>Odottavien henkilöiden lukumäärä suhteessa palvelupisteisiin</t>
  </si>
  <si>
    <t>Turvahuone</t>
  </si>
  <si>
    <t>Odottavien henkilöiden lukumäärä keskimäärin</t>
  </si>
  <si>
    <t>Itsepalvelupiste</t>
  </si>
  <si>
    <t>Nouto/jättöpiste</t>
  </si>
  <si>
    <t>Tilaohjelmaan osallistuvat virastot ja hankekohtaiset asiakasluvut</t>
  </si>
  <si>
    <t>PUNAISELLA OLEVIA LUKUJA VOI MUOKATA JA TARKASTELLA HANKEKOHTAISESTI</t>
  </si>
  <si>
    <t>HUOM. Muokkaukset  Tilaohjelma välilehdelle</t>
  </si>
  <si>
    <t>Onko organisaatio mukana palvelupisteessä?</t>
  </si>
  <si>
    <t>Mikä mukana olevan organisaation on tulevaisuuden käyntiasiakkaiden  kokonaislukumäärä viikossa tässä toimipaikassa?</t>
  </si>
  <si>
    <t>Valtakunnallinen asiakasmäärä viikossa (tietopyynnöstä)</t>
  </si>
  <si>
    <t>Tilaohjelman taustaolettamukset</t>
  </si>
  <si>
    <t>PUNAISELLA OLEVIA LUKUJA VOI MUOKATA JA TARKASTELLA MARGINAALIEN VAIKUTUSTA TILAMÄÄRIIN</t>
  </si>
  <si>
    <t>Keskimääräinen asiakasvirta (viikossa)</t>
  </si>
  <si>
    <t>Asiakasvirta viikon aikana</t>
  </si>
  <si>
    <t>Kaikki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</si>
  <si>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</si>
  <si>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</si>
  <si>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</si>
  <si>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</si>
  <si>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</si>
  <si>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</si>
  <si>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</si>
  <si>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</si>
  <si>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Virtuaalinen asiakaspalvelija</t>
  </si>
  <si>
    <t>Ma</t>
  </si>
  <si>
    <t>Spontaani</t>
  </si>
  <si>
    <t>Ti</t>
  </si>
  <si>
    <t>Varauksella</t>
  </si>
  <si>
    <t>Ke</t>
  </si>
  <si>
    <t>Fyysinen asiakaspalvelija</t>
  </si>
  <si>
    <t>To</t>
  </si>
  <si>
    <t>Seinärakenteinen tila</t>
  </si>
  <si>
    <t>Pe</t>
  </si>
  <si>
    <t>Spontaanit</t>
  </si>
  <si>
    <t>Ajanvarauksella</t>
  </si>
  <si>
    <t>Keskimääräisen palvelutilanteen kesto (minuuttia)(painotettu keskiarvo)</t>
  </si>
  <si>
    <t>Painokertoimet organisaatioilla asiakasvirran mukaan</t>
  </si>
  <si>
    <t>Huonerakenteisten palvelupisteiden asiakasmäärä kokonaisasiakasmäärästä (viikossa)</t>
  </si>
  <si>
    <t>min</t>
  </si>
  <si>
    <t>Hanke</t>
  </si>
  <si>
    <t>Valtakunnallinen</t>
  </si>
  <si>
    <t>Turvahuone %</t>
  </si>
  <si>
    <t>Palvelupiste (ent. palveluhuone)</t>
  </si>
  <si>
    <t>Keskimääräinen tehollinen aika jolloin palvelutilat ovat palvelutapahtumien käytössä (aukioloaika miinus hukka-aika)</t>
  </si>
  <si>
    <t>Päivässä</t>
  </si>
  <si>
    <t>Tuntia</t>
  </si>
  <si>
    <t>Minuuttia</t>
  </si>
  <si>
    <t>Viikossa</t>
  </si>
  <si>
    <t>Asiakaspalvelijan keskimääräinen siirtymäaikamarginaali (per fyysinen palvelutilanne) (minuuttia)</t>
  </si>
  <si>
    <t>Keskimääräinen jonotusaika spontaanille asiakkaalle</t>
  </si>
  <si>
    <t>Keskimääräinen odotusaika ajanvarauksella saapuvalle asiakkaalle</t>
  </si>
  <si>
    <t xml:space="preserve">SOVELTAVA LASKENTA TIETOPYYNNÖN DATA PERUSTEELLA </t>
  </si>
  <si>
    <t>Sermirakenteinen vs seinärakenteinen palvelupistearvio</t>
  </si>
  <si>
    <t>Organisaatiokohtainen palvelupistejakauma</t>
  </si>
  <si>
    <t>Perusteet huonerakenteisten tarpeelle</t>
  </si>
  <si>
    <t>Sermirakenteinen</t>
  </si>
  <si>
    <t>Huonerakenteinen</t>
  </si>
  <si>
    <t>Turvehuonetarve</t>
  </si>
  <si>
    <t>Palvelujen KA kesto</t>
  </si>
  <si>
    <t>Onko turvahuoneen ja neuvottelutilojen käytön lisäksi erityinen tarve seinärakenteille?</t>
  </si>
  <si>
    <t>Kyllä</t>
  </si>
  <si>
    <t>Pitkä</t>
  </si>
  <si>
    <t>Ei</t>
  </si>
  <si>
    <t>Lyhyt</t>
  </si>
  <si>
    <t>Erikoistarve</t>
  </si>
  <si>
    <t>Erittäin pitkä</t>
  </si>
  <si>
    <t>EI</t>
  </si>
  <si>
    <t>Osittainen</t>
  </si>
  <si>
    <t>Kestot</t>
  </si>
  <si>
    <t>Huonerakenteisen tarpeen laskentakaava</t>
  </si>
  <si>
    <t>Kuvaus</t>
  </si>
  <si>
    <t>100 % josta vähennetään</t>
  </si>
  <si>
    <t>0-15 min</t>
  </si>
  <si>
    <t>- turvahuonetta tarvitsevien asiakkaiden %-määrä</t>
  </si>
  <si>
    <t>15-45 min</t>
  </si>
  <si>
    <t>- alle 15 minuutin+5 hengen asiakastapahtumien %-osuus</t>
  </si>
  <si>
    <t>45-60</t>
  </si>
  <si>
    <t>-pitkien tapahtumien %-osuus mikäli ei erillistä perustelua tarpeelle</t>
  </si>
  <si>
    <t>&gt;60 min</t>
  </si>
  <si>
    <t>+ muu erillinen tarve seinärakenteille</t>
  </si>
  <si>
    <t>Huonerakenteisia kuitenkin väh. 10 %</t>
  </si>
  <si>
    <t>Paljonko asiakkaita tiloihin kohdistuu</t>
  </si>
  <si>
    <t>KAIKKI</t>
  </si>
  <si>
    <t>VIRTUAALISESTI</t>
  </si>
  <si>
    <t>KASVOKKAIN</t>
  </si>
  <si>
    <t>kriteeri nro</t>
  </si>
  <si>
    <t>KRITEERIT JOILLA TÄHÄN TILAAN OHJAUTUU</t>
  </si>
  <si>
    <t>Asiakaspalvelija JA etäyhteydellä</t>
  </si>
  <si>
    <t>Asiakas-palvelija JA kasvokkain JA vähintään 5 hlö</t>
  </si>
  <si>
    <t>Asiakas-palvelu JA kasvokkain JA max 4 hlö JA turvahuone</t>
  </si>
  <si>
    <t>Asiakas-palvelija JA kasvokkain JA max 4 hlö JA palvelupiste</t>
  </si>
  <si>
    <t>Itsepalvelu JA itsepalvelu-piste</t>
  </si>
  <si>
    <t>Itsepalvelu JA käyttää nouto/jättö-pistettä</t>
  </si>
  <si>
    <t>Asiakas-palvelija JA kasvokkain (jonotus)</t>
  </si>
  <si>
    <t>Jono</t>
  </si>
  <si>
    <t>Kaikkien asiakasmäärien arvioiminen (viikossa)</t>
  </si>
  <si>
    <t>Asiakasta viikossa</t>
  </si>
  <si>
    <t>ASIAKASMÄÄRÄ</t>
  </si>
  <si>
    <t>Määrän tarkistus (sama kuin sarake A)</t>
  </si>
  <si>
    <t>Spontaanien asiakasmäärien arvioiminen (viikossa)</t>
  </si>
  <si>
    <t>Asiakas-palvelija JA kasvokkain JA vähintään 5 hlö JA spontaani</t>
  </si>
  <si>
    <t>Asiakas-palvelu JA kasvokkain JA max 4 hlö JA turvahuone JA spontaani</t>
  </si>
  <si>
    <t>Asiakas-palvelija JA kasvokkain JA max 4 hlö JA palvelupiste JA spontaani</t>
  </si>
  <si>
    <t>Itsepalvelu JA itsepalvelu-piste JA spontaani</t>
  </si>
  <si>
    <t>Ajanvaraus asiakasmäärien arvioiminen (viikossa)</t>
  </si>
  <si>
    <t>APURIVIT: ei laske taustadatasta vaan ilmoittaa luvut mikäli organisaatio osallistuu tilaohjelmaan (rivit 18-29)</t>
  </si>
  <si>
    <t>Asiakaspalvelutilanteiden keskimääräiset kestot</t>
  </si>
  <si>
    <t>YHDEN TAPAAMISEN KESTO min</t>
  </si>
  <si>
    <t>Logiikka eri palvelutapahtumien kestojen määrittämiseksi</t>
  </si>
  <si>
    <t>Painotettu keskiarvo muista tiloja vaativista asvokkaisistapalvelutilanteista</t>
  </si>
  <si>
    <t>Kaikki yli 5 hlö palvelutilanteet</t>
  </si>
  <si>
    <t>Kaikki 2-4 hlö palvelutilanteet</t>
  </si>
  <si>
    <t>0-15 min 2 hengen asiakaspalvelutilanteet</t>
  </si>
  <si>
    <t>Subjektiivinen arvio</t>
  </si>
  <si>
    <t>Toimii tilojen mitoituksen kontrollimuuttujana. Subjektiivinen arvio</t>
  </si>
  <si>
    <t>Koonti ASPA tietopyynnön tiedoista tilatarvelogiikan mukaan</t>
  </si>
  <si>
    <t>Kuinka iso osa kaikista käyntiasiakkaista tarvitsee…</t>
  </si>
  <si>
    <t>Henkilömäärät</t>
  </si>
  <si>
    <t>Asiakaspalvelijaa</t>
  </si>
  <si>
    <t>Itsepalvelua</t>
  </si>
  <si>
    <t>Kasvokkain</t>
  </si>
  <si>
    <t>Etäyhteydellä</t>
  </si>
  <si>
    <t>Max 4 hlö</t>
  </si>
  <si>
    <t>Väh. 5 hlö</t>
  </si>
  <si>
    <t>Ennakkovarauksella</t>
  </si>
  <si>
    <t>Asikasvirtalaskelmat kuukausittain</t>
  </si>
  <si>
    <t>Aukioloajat</t>
  </si>
  <si>
    <t>Asikasvirtoja viikossa</t>
  </si>
  <si>
    <t>Asiakasvirran osuus viikosta</t>
  </si>
  <si>
    <t>Ruuhka</t>
  </si>
  <si>
    <t>Normi</t>
  </si>
  <si>
    <t>Hiljainen</t>
  </si>
  <si>
    <t>RAAKADATA ASPA TIETOPYYNNÖSTÄ 10-11/2021</t>
  </si>
  <si>
    <t>Palvelua tarvitsevien käyntiasiakkaiden määrä %</t>
  </si>
  <si>
    <t>Nykyhetki</t>
  </si>
  <si>
    <t>Vain itsepalvelua</t>
  </si>
  <si>
    <t>Asiakas-palvellijaa</t>
  </si>
  <si>
    <t>Palvelua tarvitsevien käyntiasiakkaiden palvelu kasvokkain/etäyhteydellä</t>
  </si>
  <si>
    <t>Kuinka iso osa kaikista asiakaspalvelijaa tarvitsevista palvellaan…</t>
  </si>
  <si>
    <t>Etä-yhteydellä</t>
  </si>
  <si>
    <t>50..100%</t>
  </si>
  <si>
    <t>50…100%</t>
  </si>
  <si>
    <t>Palvelua tarvitsevien asiakkaiden palvelutapahtumien henkilömäärä ja kesto</t>
  </si>
  <si>
    <t>Arvioitu keskimääräinen kesto per kategoria</t>
  </si>
  <si>
    <r>
      <t xml:space="preserve">asiakas ja virkalijia, </t>
    </r>
    <r>
      <rPr>
        <b/>
        <sz val="14"/>
        <color theme="1"/>
        <rFont val="Arial"/>
        <family val="2"/>
      </rPr>
      <t>yhteensä 2 henkilöä</t>
    </r>
  </si>
  <si>
    <r>
      <t xml:space="preserve">asiakkaita, virkalijoita tai muita tahoja </t>
    </r>
    <r>
      <rPr>
        <b/>
        <sz val="14"/>
        <color theme="1"/>
        <rFont val="Arial"/>
        <family val="2"/>
      </rPr>
      <t>yhteensä 3-4 henkilöä</t>
    </r>
  </si>
  <si>
    <r>
      <t xml:space="preserve">asiakkaita, virkalijoita tai muita tahoja </t>
    </r>
    <r>
      <rPr>
        <b/>
        <sz val="14"/>
        <color theme="1"/>
        <rFont val="Arial"/>
        <family val="2"/>
      </rPr>
      <t>yhteensä 5-8 henkilöä</t>
    </r>
  </si>
  <si>
    <r>
      <t xml:space="preserve">asiakkaita, virkalijoita tai muita tahoja </t>
    </r>
    <r>
      <rPr>
        <b/>
        <sz val="14"/>
        <color theme="1"/>
        <rFont val="Arial"/>
        <family val="2"/>
      </rPr>
      <t>yhteensä 9+ henkilöä</t>
    </r>
  </si>
  <si>
    <t>alle 5 min</t>
  </si>
  <si>
    <t>5-15 min</t>
  </si>
  <si>
    <t>15-30 min</t>
  </si>
  <si>
    <t>30-60 min</t>
  </si>
  <si>
    <t>60-120 min</t>
  </si>
  <si>
    <t>120+ min</t>
  </si>
  <si>
    <t>% alle alle 15 min ja alle 5 hlö</t>
  </si>
  <si>
    <t>Palvelua tarvitsevien asiakkaiden palvelutapahtumien toteutus eri tiloissa</t>
  </si>
  <si>
    <t>7a) Kuinka iso osa käyntiasiakastapaamisista keskimäärin voidaan / tulee toteuttaa…</t>
  </si>
  <si>
    <t>Asiakas-palvelun yleistiloissa (info, aula, avoin palvelu-piste)</t>
  </si>
  <si>
    <t>Palveluhuoneessa tai puoli-avoimessa palvelu-pisteessä</t>
  </si>
  <si>
    <t>Neuvottelutilassa</t>
  </si>
  <si>
    <t>Turva-huoneessa</t>
  </si>
  <si>
    <t>Palvelua tarvitsevien asiakkaiden asiakasmäärät</t>
  </si>
  <si>
    <t>Vuodessa</t>
  </si>
  <si>
    <t>Kuukaudessa</t>
  </si>
  <si>
    <t>Ennakkovarauksella vs spontaanit</t>
  </si>
  <si>
    <t>Kuinka iso osa kaikista käyntiasiakkaista saapuu…</t>
  </si>
  <si>
    <t>Ennakko-varauksella</t>
  </si>
  <si>
    <t>Spon-taanisti</t>
  </si>
  <si>
    <t>Vuosikalenteri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</si>
  <si>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</si>
  <si>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</si>
  <si>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</si>
  <si>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</si>
  <si>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</si>
  <si>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</si>
  <si>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</si>
  <si>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</si>
  <si>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</si>
  <si>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</si>
  <si>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</si>
  <si>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</si>
  <si>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Ruuhkainen</t>
  </si>
  <si>
    <t>Keskitaso</t>
  </si>
  <si>
    <t>Viikkotaso (tarkasteltu suurta toimipaikkaa)</t>
  </si>
  <si>
    <t>Aukioloajat, asiakasvirta</t>
  </si>
  <si>
    <t>Kiinni</t>
  </si>
  <si>
    <t>Auki ja normaali</t>
  </si>
  <si>
    <t>Auki ja ruuhka</t>
  </si>
  <si>
    <t>Auki ja hiljaista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</si>
</sst>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\ %"/>
    <numFmt numFmtId="165" formatCode="0.0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Arial"/>
      <family val="2"/>
    </font>
    <font>
      <sz val="12"/>
      <color theme="0"/>
      <name val="Calibri (Body)"/>
    </font>
    <font>
      <sz val="12"/>
      <color rgb="FFFF0000"/>
      <name val="Calibri (Body)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</font>
    <font>
      <sz val="12"/>
      <color rgb="FF00B05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100"/>
        <bgColor indexed="64"/>
      </patternFill>
    </fill>
    <fill>
      <patternFill patternType="solid">
        <fgColor rgb="FFFFE69A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9DC4E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4" fillId="2" borderId="0" xfId="0" applyFont="1" applyFill="1"/>
    <xf numFmtId="0" fontId="0" fillId="3" borderId="0" xfId="0" applyFill="1"/>
    <xf numFmtId="0" fontId="0" fillId="3" borderId="1" xfId="0" applyFill="1" applyBorder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0" fillId="3" borderId="0" xfId="0" applyFill="1" applyAlignment="1">
      <alignment horizontal="right"/>
    </xf>
    <xf numFmtId="1" fontId="0" fillId="3" borderId="0" xfId="0" applyNumberFormat="1" applyFill="1"/>
    <xf numFmtId="0" fontId="5" fillId="3" borderId="0" xfId="0" applyFont="1" applyFill="1" applyAlignment="1">
      <alignment horizontal="right"/>
    </xf>
    <xf numFmtId="0" fontId="6" fillId="0" borderId="0" xfId="0" applyFont="1"/>
    <xf numFmtId="0" fontId="7" fillId="3" borderId="0" xfId="0" applyFont="1" applyFill="1"/>
    <xf numFmtId="0" fontId="3" fillId="3" borderId="0" xfId="0" applyFont="1" applyFill="1" applyAlignment="1">
      <alignment horizontal="left"/>
    </xf>
    <xf numFmtId="1" fontId="3" fillId="3" borderId="0" xfId="0" applyNumberFormat="1" applyFont="1" applyFill="1"/>
    <xf numFmtId="0" fontId="8" fillId="3" borderId="0" xfId="0" applyFont="1" applyFill="1" applyAlignment="1">
      <alignment horizontal="right"/>
    </xf>
    <xf numFmtId="1" fontId="8" fillId="3" borderId="0" xfId="0" applyNumberFormat="1" applyFont="1" applyFill="1"/>
    <xf numFmtId="164" fontId="0" fillId="3" borderId="0" xfId="1" applyNumberFormat="1" applyFont="1" applyFill="1"/>
    <xf numFmtId="0" fontId="0" fillId="0" borderId="0" xfId="0" applyAlignment="1">
      <alignment horizontal="right"/>
    </xf>
    <xf numFmtId="9" fontId="0" fillId="0" borderId="0" xfId="0" applyNumberFormat="1"/>
    <xf numFmtId="0" fontId="0" fillId="3" borderId="0" xfId="0" applyFill="1" applyAlignment="1">
      <alignment horizontal="left"/>
    </xf>
    <xf numFmtId="0" fontId="2" fillId="3" borderId="0" xfId="0" applyFont="1" applyFill="1"/>
    <xf numFmtId="164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3" borderId="0" xfId="0" applyFill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0" xfId="0" applyFill="1"/>
    <xf numFmtId="0" fontId="0" fillId="6" borderId="3" xfId="0" applyFill="1" applyBorder="1" applyAlignment="1">
      <alignment horizontal="center"/>
    </xf>
    <xf numFmtId="0" fontId="0" fillId="5" borderId="4" xfId="0" applyFill="1" applyBorder="1"/>
    <xf numFmtId="0" fontId="0" fillId="6" borderId="4" xfId="0" applyFill="1" applyBorder="1" applyAlignment="1">
      <alignment horizontal="center"/>
    </xf>
    <xf numFmtId="0" fontId="0" fillId="6" borderId="4" xfId="0" applyFill="1" applyBorder="1"/>
    <xf numFmtId="0" fontId="0" fillId="5" borderId="5" xfId="0" applyFill="1" applyBorder="1"/>
    <xf numFmtId="0" fontId="0" fillId="3" borderId="0" xfId="0" applyFill="1" applyAlignment="1">
      <alignment wrapText="1"/>
    </xf>
    <xf numFmtId="0" fontId="0" fillId="0" borderId="6" xfId="0" applyBorder="1" applyAlignment="1">
      <alignment horizontal="center" wrapText="1"/>
    </xf>
    <xf numFmtId="1" fontId="0" fillId="7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right" wrapText="1"/>
    </xf>
    <xf numFmtId="0" fontId="0" fillId="0" borderId="1" xfId="0" applyBorder="1"/>
    <xf numFmtId="1" fontId="9" fillId="0" borderId="0" xfId="0" applyNumberFormat="1" applyFont="1"/>
    <xf numFmtId="0" fontId="10" fillId="0" borderId="0" xfId="0" applyFont="1" applyAlignment="1">
      <alignment horizontal="right"/>
    </xf>
    <xf numFmtId="1" fontId="9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3" fillId="0" borderId="9" xfId="0" applyNumberFormat="1" applyFont="1" applyBorder="1"/>
    <xf numFmtId="1" fontId="0" fillId="0" borderId="1" xfId="0" applyNumberFormat="1" applyBorder="1"/>
    <xf numFmtId="165" fontId="0" fillId="0" borderId="0" xfId="0" applyNumberFormat="1"/>
    <xf numFmtId="1" fontId="9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/>
    <xf numFmtId="1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  <xf numFmtId="1" fontId="9" fillId="0" borderId="4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9" fontId="5" fillId="0" borderId="0" xfId="1" applyFont="1" applyAlignment="1">
      <alignment horizontal="right"/>
    </xf>
    <xf numFmtId="0" fontId="11" fillId="0" borderId="0" xfId="0" applyFont="1" applyAlignment="1">
      <alignment horizontal="right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9" fontId="3" fillId="0" borderId="11" xfId="0" applyNumberFormat="1" applyFont="1" applyBorder="1"/>
    <xf numFmtId="0" fontId="3" fillId="0" borderId="11" xfId="0" applyFont="1" applyBorder="1"/>
    <xf numFmtId="9" fontId="5" fillId="0" borderId="14" xfId="1" applyFont="1" applyBorder="1" applyAlignment="1">
      <alignment horizontal="right"/>
    </xf>
    <xf numFmtId="9" fontId="0" fillId="0" borderId="1" xfId="0" applyNumberFormat="1" applyBorder="1"/>
    <xf numFmtId="9" fontId="0" fillId="0" borderId="14" xfId="0" applyNumberFormat="1" applyBorder="1"/>
    <xf numFmtId="9" fontId="5" fillId="0" borderId="15" xfId="1" applyFont="1" applyBorder="1" applyAlignment="1">
      <alignment horizontal="right"/>
    </xf>
    <xf numFmtId="9" fontId="0" fillId="0" borderId="16" xfId="0" applyNumberFormat="1" applyBorder="1"/>
    <xf numFmtId="9" fontId="0" fillId="0" borderId="17" xfId="0" applyNumberFormat="1" applyBorder="1"/>
    <xf numFmtId="9" fontId="0" fillId="0" borderId="15" xfId="0" applyNumberFormat="1" applyBorder="1"/>
    <xf numFmtId="0" fontId="5" fillId="4" borderId="0" xfId="0" applyFont="1" applyFill="1" applyAlignment="1">
      <alignment horizontal="left"/>
    </xf>
    <xf numFmtId="9" fontId="5" fillId="4" borderId="0" xfId="1" applyFont="1" applyFill="1" applyAlignment="1">
      <alignment horizontal="right"/>
    </xf>
    <xf numFmtId="9" fontId="0" fillId="4" borderId="0" xfId="0" applyNumberFormat="1" applyFill="1"/>
    <xf numFmtId="0" fontId="12" fillId="2" borderId="2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/>
    </xf>
    <xf numFmtId="0" fontId="12" fillId="9" borderId="2" xfId="0" applyFont="1" applyFill="1" applyBorder="1" applyAlignment="1">
      <alignment horizontal="left"/>
    </xf>
    <xf numFmtId="0" fontId="6" fillId="9" borderId="0" xfId="0" applyFont="1" applyFill="1"/>
    <xf numFmtId="0" fontId="0" fillId="9" borderId="0" xfId="0" applyFill="1"/>
    <xf numFmtId="0" fontId="0" fillId="9" borderId="1" xfId="0" applyFill="1" applyBorder="1"/>
    <xf numFmtId="0" fontId="13" fillId="0" borderId="0" xfId="0" applyFont="1"/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4" fillId="0" borderId="22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9" xfId="0" applyFont="1" applyBorder="1" applyAlignment="1">
      <alignment horizontal="left" wrapText="1"/>
    </xf>
    <xf numFmtId="9" fontId="14" fillId="0" borderId="23" xfId="1" applyFont="1" applyBorder="1" applyAlignment="1">
      <alignment horizontal="center" vertical="center" wrapText="1"/>
    </xf>
    <xf numFmtId="9" fontId="14" fillId="0" borderId="24" xfId="1" applyFont="1" applyBorder="1" applyAlignment="1">
      <alignment horizontal="center" vertical="center" wrapText="1"/>
    </xf>
    <xf numFmtId="9" fontId="14" fillId="10" borderId="23" xfId="1" applyFont="1" applyFill="1" applyBorder="1" applyAlignment="1">
      <alignment horizontal="center" vertical="center" wrapText="1"/>
    </xf>
    <xf numFmtId="9" fontId="14" fillId="10" borderId="24" xfId="1" applyFont="1" applyFill="1" applyBorder="1" applyAlignment="1">
      <alignment horizontal="center" vertical="center" wrapText="1"/>
    </xf>
    <xf numFmtId="9" fontId="14" fillId="10" borderId="25" xfId="1" applyFont="1" applyFill="1" applyBorder="1" applyAlignment="1">
      <alignment horizontal="center" vertical="center" wrapText="1"/>
    </xf>
    <xf numFmtId="9" fontId="14" fillId="0" borderId="26" xfId="1" applyFont="1" applyBorder="1" applyAlignment="1">
      <alignment horizontal="center" vertical="center" wrapText="1"/>
    </xf>
    <xf numFmtId="9" fontId="14" fillId="0" borderId="27" xfId="1" applyFont="1" applyBorder="1" applyAlignment="1">
      <alignment horizontal="center" vertical="center" wrapText="1"/>
    </xf>
    <xf numFmtId="9" fontId="14" fillId="11" borderId="26" xfId="1" applyFont="1" applyFill="1" applyBorder="1" applyAlignment="1">
      <alignment horizontal="center" vertical="center" wrapText="1"/>
    </xf>
    <xf numFmtId="9" fontId="14" fillId="11" borderId="27" xfId="1" applyFont="1" applyFill="1" applyBorder="1" applyAlignment="1">
      <alignment horizontal="center" vertical="center" wrapText="1"/>
    </xf>
    <xf numFmtId="9" fontId="14" fillId="11" borderId="28" xfId="1" applyFont="1" applyFill="1" applyBorder="1" applyAlignment="1">
      <alignment horizontal="center" vertical="center" wrapText="1"/>
    </xf>
    <xf numFmtId="9" fontId="14" fillId="0" borderId="28" xfId="1" applyFont="1" applyBorder="1" applyAlignment="1">
      <alignment horizontal="center" vertical="center" wrapText="1"/>
    </xf>
    <xf numFmtId="9" fontId="14" fillId="10" borderId="26" xfId="1" applyFont="1" applyFill="1" applyBorder="1" applyAlignment="1">
      <alignment horizontal="center" vertical="center" wrapText="1"/>
    </xf>
    <xf numFmtId="9" fontId="14" fillId="10" borderId="28" xfId="1" applyFont="1" applyFill="1" applyBorder="1" applyAlignment="1">
      <alignment horizontal="center" vertical="center" wrapText="1"/>
    </xf>
    <xf numFmtId="9" fontId="14" fillId="0" borderId="29" xfId="1" applyFont="1" applyBorder="1" applyAlignment="1">
      <alignment horizontal="center" vertical="center" wrapText="1"/>
    </xf>
    <xf numFmtId="9" fontId="14" fillId="0" borderId="30" xfId="1" applyFont="1" applyBorder="1" applyAlignment="1">
      <alignment horizontal="center" vertical="center" wrapText="1"/>
    </xf>
    <xf numFmtId="9" fontId="14" fillId="0" borderId="31" xfId="1" applyFont="1" applyBorder="1" applyAlignment="1">
      <alignment horizontal="center" vertical="center" wrapText="1"/>
    </xf>
    <xf numFmtId="9" fontId="14" fillId="0" borderId="0" xfId="1" applyFont="1" applyAlignment="1">
      <alignment horizontal="center" vertical="center" wrapText="1"/>
    </xf>
    <xf numFmtId="9" fontId="14" fillId="10" borderId="27" xfId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1" fillId="0" borderId="2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9" fontId="14" fillId="0" borderId="33" xfId="1" applyFont="1" applyBorder="1" applyAlignment="1">
      <alignment horizontal="center" vertical="center" wrapText="1"/>
    </xf>
    <xf numFmtId="9" fontId="13" fillId="0" borderId="23" xfId="1" applyFont="1" applyBorder="1" applyAlignment="1">
      <alignment horizontal="center" wrapText="1"/>
    </xf>
    <xf numFmtId="9" fontId="13" fillId="0" borderId="33" xfId="1" applyFont="1" applyBorder="1" applyAlignment="1">
      <alignment horizontal="center" wrapText="1"/>
    </xf>
    <xf numFmtId="9" fontId="13" fillId="0" borderId="24" xfId="1" applyFont="1" applyBorder="1" applyAlignment="1">
      <alignment horizontal="center" wrapText="1"/>
    </xf>
    <xf numFmtId="9" fontId="14" fillId="0" borderId="2" xfId="1" applyFont="1" applyBorder="1" applyAlignment="1">
      <alignment horizontal="center" vertical="center" wrapText="1"/>
    </xf>
    <xf numFmtId="9" fontId="13" fillId="0" borderId="26" xfId="1" applyFont="1" applyBorder="1" applyAlignment="1">
      <alignment horizontal="center"/>
    </xf>
    <xf numFmtId="9" fontId="13" fillId="0" borderId="2" xfId="1" applyFont="1" applyBorder="1" applyAlignment="1">
      <alignment horizontal="center"/>
    </xf>
    <xf numFmtId="9" fontId="13" fillId="0" borderId="27" xfId="1" applyFont="1" applyBorder="1" applyAlignment="1">
      <alignment horizontal="center"/>
    </xf>
    <xf numFmtId="9" fontId="13" fillId="0" borderId="26" xfId="1" applyFont="1" applyBorder="1" applyAlignment="1">
      <alignment horizontal="center" wrapText="1"/>
    </xf>
    <xf numFmtId="9" fontId="13" fillId="0" borderId="2" xfId="1" applyFont="1" applyBorder="1" applyAlignment="1">
      <alignment horizontal="center" wrapText="1"/>
    </xf>
    <xf numFmtId="9" fontId="13" fillId="0" borderId="27" xfId="1" applyFont="1" applyBorder="1" applyAlignment="1">
      <alignment horizontal="center" wrapText="1"/>
    </xf>
    <xf numFmtId="9" fontId="13" fillId="0" borderId="29" xfId="1" applyFont="1" applyBorder="1" applyAlignment="1">
      <alignment horizontal="center" wrapText="1"/>
    </xf>
    <xf numFmtId="9" fontId="13" fillId="0" borderId="35" xfId="1" applyFont="1" applyBorder="1" applyAlignment="1">
      <alignment horizontal="center" wrapText="1"/>
    </xf>
    <xf numFmtId="9" fontId="13" fillId="0" borderId="30" xfId="1" applyFont="1" applyBorder="1" applyAlignment="1">
      <alignment horizontal="center" wrapText="1"/>
    </xf>
    <xf numFmtId="1" fontId="0" fillId="0" borderId="0" xfId="0" applyNumberFormat="1"/>
    <xf numFmtId="0" fontId="4" fillId="9" borderId="0" xfId="0" applyFont="1" applyFill="1"/>
    <xf numFmtId="0" fontId="18" fillId="9" borderId="2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13" fillId="8" borderId="2" xfId="0" applyFont="1" applyFill="1" applyBorder="1" applyAlignment="1">
      <alignment horizontal="left"/>
    </xf>
    <xf numFmtId="49" fontId="0" fillId="0" borderId="0" xfId="0" applyNumberFormat="1"/>
    <xf numFmtId="49" fontId="0" fillId="0" borderId="1" xfId="0" applyNumberFormat="1" applyBorder="1"/>
    <xf numFmtId="0" fontId="0" fillId="2" borderId="2" xfId="0" applyFill="1" applyBorder="1"/>
    <xf numFmtId="0" fontId="0" fillId="0" borderId="2" xfId="0" applyBorder="1"/>
    <xf numFmtId="0" fontId="0" fillId="8" borderId="2" xfId="0" applyFill="1" applyBorder="1"/>
    <xf numFmtId="0" fontId="9" fillId="9" borderId="2" xfId="0" applyFont="1" applyFill="1" applyBorder="1"/>
    <xf numFmtId="0" fontId="0" fillId="9" borderId="2" xfId="0" applyFill="1" applyBorder="1"/>
    <xf numFmtId="2" fontId="0" fillId="0" borderId="0" xfId="0" applyNumberFormat="1"/>
    <xf numFmtId="9" fontId="0" fillId="3" borderId="0" xfId="0" applyNumberFormat="1" applyFill="1"/>
    <xf numFmtId="0" fontId="14" fillId="0" borderId="0" xfId="0" applyFont="1" applyAlignment="1">
      <alignment horizontal="center" wrapText="1"/>
    </xf>
    <xf numFmtId="0" fontId="10" fillId="3" borderId="0" xfId="0" applyFont="1" applyFill="1" applyAlignment="1">
      <alignment horizontal="right"/>
    </xf>
    <xf numFmtId="0" fontId="20" fillId="3" borderId="0" xfId="0" applyFont="1" applyFill="1"/>
    <xf numFmtId="165" fontId="0" fillId="3" borderId="0" xfId="0" applyNumberFormat="1" applyFill="1"/>
    <xf numFmtId="0" fontId="12" fillId="3" borderId="18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6" fillId="3" borderId="20" xfId="0" applyFont="1" applyFill="1" applyBorder="1"/>
    <xf numFmtId="0" fontId="16" fillId="3" borderId="21" xfId="0" applyFont="1" applyFill="1" applyBorder="1"/>
    <xf numFmtId="16" fontId="16" fillId="3" borderId="19" xfId="0" applyNumberFormat="1" applyFont="1" applyFill="1" applyBorder="1" applyAlignment="1">
      <alignment vertical="center"/>
    </xf>
    <xf numFmtId="0" fontId="16" fillId="3" borderId="0" xfId="0" applyFont="1" applyFill="1"/>
    <xf numFmtId="16" fontId="16" fillId="3" borderId="0" xfId="0" applyNumberFormat="1" applyFont="1" applyFill="1" applyAlignment="1">
      <alignment vertical="center"/>
    </xf>
    <xf numFmtId="9" fontId="2" fillId="3" borderId="9" xfId="0" applyNumberFormat="1" applyFont="1" applyFill="1" applyBorder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9" fontId="14" fillId="3" borderId="34" xfId="1" applyFont="1" applyFill="1" applyBorder="1" applyAlignment="1">
      <alignment horizontal="center" vertical="center"/>
    </xf>
    <xf numFmtId="9" fontId="14" fillId="3" borderId="33" xfId="1" applyFont="1" applyFill="1" applyBorder="1" applyAlignment="1">
      <alignment horizontal="center" vertical="center"/>
    </xf>
    <xf numFmtId="9" fontId="14" fillId="3" borderId="24" xfId="1" applyFont="1" applyFill="1" applyBorder="1" applyAlignment="1">
      <alignment horizontal="center" vertical="center"/>
    </xf>
    <xf numFmtId="9" fontId="14" fillId="3" borderId="23" xfId="1" applyFont="1" applyFill="1" applyBorder="1" applyAlignment="1">
      <alignment horizontal="center" vertical="center"/>
    </xf>
    <xf numFmtId="9" fontId="14" fillId="3" borderId="18" xfId="1" applyFont="1" applyFill="1" applyBorder="1" applyAlignment="1">
      <alignment horizontal="center" vertical="center"/>
    </xf>
    <xf numFmtId="9" fontId="14" fillId="3" borderId="2" xfId="1" applyFont="1" applyFill="1" applyBorder="1" applyAlignment="1">
      <alignment horizontal="center" vertical="center"/>
    </xf>
    <xf numFmtId="9" fontId="14" fillId="3" borderId="27" xfId="1" applyFont="1" applyFill="1" applyBorder="1" applyAlignment="1">
      <alignment horizontal="center" vertical="center"/>
    </xf>
    <xf numFmtId="9" fontId="14" fillId="3" borderId="26" xfId="1" applyFont="1" applyFill="1" applyBorder="1" applyAlignment="1">
      <alignment horizontal="center" vertical="center"/>
    </xf>
    <xf numFmtId="9" fontId="14" fillId="3" borderId="36" xfId="1" applyFont="1" applyFill="1" applyBorder="1" applyAlignment="1">
      <alignment horizontal="center" vertical="center"/>
    </xf>
    <xf numFmtId="9" fontId="14" fillId="3" borderId="35" xfId="1" applyFont="1" applyFill="1" applyBorder="1" applyAlignment="1">
      <alignment horizontal="center" vertical="center"/>
    </xf>
    <xf numFmtId="9" fontId="14" fillId="3" borderId="30" xfId="1" applyFont="1" applyFill="1" applyBorder="1" applyAlignment="1">
      <alignment horizontal="center" vertical="center"/>
    </xf>
    <xf numFmtId="9" fontId="14" fillId="3" borderId="29" xfId="1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left"/>
    </xf>
    <xf numFmtId="0" fontId="16" fillId="3" borderId="21" xfId="0" applyFont="1" applyFill="1" applyBorder="1" applyAlignment="1">
      <alignment horizontal="left"/>
    </xf>
    <xf numFmtId="0" fontId="11" fillId="3" borderId="0" xfId="0" applyFont="1" applyFill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9" fontId="13" fillId="3" borderId="34" xfId="1" applyFont="1" applyFill="1" applyBorder="1" applyAlignment="1">
      <alignment horizontal="center" wrapText="1"/>
    </xf>
    <xf numFmtId="9" fontId="13" fillId="3" borderId="33" xfId="1" applyFont="1" applyFill="1" applyBorder="1" applyAlignment="1">
      <alignment horizontal="center" wrapText="1"/>
    </xf>
    <xf numFmtId="9" fontId="13" fillId="3" borderId="25" xfId="1" applyFont="1" applyFill="1" applyBorder="1" applyAlignment="1">
      <alignment horizontal="center" wrapText="1"/>
    </xf>
    <xf numFmtId="9" fontId="14" fillId="3" borderId="18" xfId="1" applyFont="1" applyFill="1" applyBorder="1" applyAlignment="1">
      <alignment horizontal="center" vertical="center" wrapText="1"/>
    </xf>
    <xf numFmtId="9" fontId="14" fillId="3" borderId="2" xfId="1" applyFont="1" applyFill="1" applyBorder="1" applyAlignment="1">
      <alignment horizontal="center" vertical="center" wrapText="1"/>
    </xf>
    <xf numFmtId="9" fontId="14" fillId="3" borderId="28" xfId="1" applyFont="1" applyFill="1" applyBorder="1" applyAlignment="1">
      <alignment horizontal="center" vertical="center" wrapText="1"/>
    </xf>
    <xf numFmtId="9" fontId="13" fillId="3" borderId="18" xfId="1" applyFont="1" applyFill="1" applyBorder="1" applyAlignment="1">
      <alignment horizontal="center"/>
    </xf>
    <xf numFmtId="9" fontId="13" fillId="3" borderId="2" xfId="1" applyFont="1" applyFill="1" applyBorder="1" applyAlignment="1">
      <alignment horizontal="center"/>
    </xf>
    <xf numFmtId="9" fontId="13" fillId="3" borderId="28" xfId="1" applyFont="1" applyFill="1" applyBorder="1" applyAlignment="1">
      <alignment horizontal="center"/>
    </xf>
    <xf numFmtId="9" fontId="13" fillId="3" borderId="18" xfId="1" applyFont="1" applyFill="1" applyBorder="1" applyAlignment="1">
      <alignment horizontal="center" wrapText="1"/>
    </xf>
    <xf numFmtId="9" fontId="13" fillId="3" borderId="2" xfId="1" applyFont="1" applyFill="1" applyBorder="1" applyAlignment="1">
      <alignment horizontal="center" wrapText="1"/>
    </xf>
    <xf numFmtId="9" fontId="13" fillId="3" borderId="28" xfId="1" applyFont="1" applyFill="1" applyBorder="1" applyAlignment="1">
      <alignment horizontal="center" wrapText="1"/>
    </xf>
    <xf numFmtId="9" fontId="13" fillId="3" borderId="36" xfId="1" applyFont="1" applyFill="1" applyBorder="1" applyAlignment="1">
      <alignment horizontal="center" wrapText="1"/>
    </xf>
    <xf numFmtId="9" fontId="13" fillId="3" borderId="35" xfId="1" applyFont="1" applyFill="1" applyBorder="1" applyAlignment="1">
      <alignment horizontal="center" wrapText="1"/>
    </xf>
    <xf numFmtId="9" fontId="13" fillId="3" borderId="31" xfId="1" applyFont="1" applyFill="1" applyBorder="1" applyAlignment="1">
      <alignment horizontal="center" wrapText="1"/>
    </xf>
    <xf numFmtId="49" fontId="0" fillId="3" borderId="0" xfId="0" applyNumberFormat="1" applyFill="1"/>
    <xf numFmtId="0" fontId="12" fillId="2" borderId="27" xfId="0" applyFont="1" applyFill="1" applyBorder="1" applyAlignment="1">
      <alignment horizontal="left"/>
    </xf>
    <xf numFmtId="0" fontId="12" fillId="9" borderId="27" xfId="0" applyFont="1" applyFill="1" applyBorder="1" applyAlignment="1">
      <alignment horizontal="left"/>
    </xf>
    <xf numFmtId="9" fontId="13" fillId="0" borderId="37" xfId="1" applyFont="1" applyBorder="1" applyAlignment="1">
      <alignment horizontal="center" wrapText="1"/>
    </xf>
    <xf numFmtId="9" fontId="17" fillId="0" borderId="38" xfId="1" applyFont="1" applyBorder="1" applyAlignment="1">
      <alignment horizontal="center" vertical="center" wrapText="1"/>
    </xf>
    <xf numFmtId="9" fontId="14" fillId="0" borderId="38" xfId="1" applyFont="1" applyBorder="1" applyAlignment="1">
      <alignment horizontal="center" vertical="center" wrapText="1"/>
    </xf>
    <xf numFmtId="9" fontId="13" fillId="0" borderId="38" xfId="1" applyFont="1" applyBorder="1" applyAlignment="1">
      <alignment horizontal="center"/>
    </xf>
    <xf numFmtId="9" fontId="13" fillId="0" borderId="38" xfId="1" applyFont="1" applyBorder="1" applyAlignment="1">
      <alignment horizontal="center" wrapText="1"/>
    </xf>
    <xf numFmtId="9" fontId="13" fillId="0" borderId="39" xfId="1" applyFont="1" applyBorder="1" applyAlignment="1">
      <alignment horizontal="center" wrapText="1"/>
    </xf>
    <xf numFmtId="0" fontId="0" fillId="3" borderId="0" xfId="0" quotePrefix="1" applyFill="1"/>
    <xf numFmtId="0" fontId="0" fillId="3" borderId="2" xfId="0" applyFill="1" applyBorder="1"/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9" fontId="0" fillId="3" borderId="0" xfId="1" applyFont="1" applyFill="1"/>
    <xf numFmtId="0" fontId="0" fillId="12" borderId="0" xfId="0" applyFill="1"/>
    <xf numFmtId="0" fontId="0" fillId="12" borderId="1" xfId="0" applyFill="1" applyBorder="1"/>
    <xf numFmtId="0" fontId="0" fillId="3" borderId="1" xfId="0" applyFill="1" applyBorder="1" applyAlignment="1">
      <alignment wrapText="1"/>
    </xf>
    <xf numFmtId="0" fontId="16" fillId="3" borderId="32" xfId="0" applyFont="1" applyFill="1" applyBorder="1"/>
    <xf numFmtId="0" fontId="16" fillId="3" borderId="1" xfId="0" applyFont="1" applyFill="1" applyBorder="1"/>
    <xf numFmtId="0" fontId="11" fillId="3" borderId="1" xfId="0" applyFont="1" applyFill="1" applyBorder="1" applyAlignment="1">
      <alignment horizontal="center"/>
    </xf>
    <xf numFmtId="49" fontId="0" fillId="3" borderId="1" xfId="0" applyNumberFormat="1" applyFill="1" applyBorder="1"/>
    <xf numFmtId="0" fontId="0" fillId="2" borderId="0" xfId="0" applyFill="1"/>
    <xf numFmtId="0" fontId="0" fillId="2" borderId="1" xfId="0" applyFill="1" applyBorder="1"/>
    <xf numFmtId="0" fontId="6" fillId="2" borderId="0" xfId="0" applyFont="1" applyFill="1"/>
    <xf numFmtId="1" fontId="0" fillId="3" borderId="0" xfId="1" applyNumberFormat="1" applyFont="1" applyFill="1"/>
    <xf numFmtId="2" fontId="0" fillId="3" borderId="0" xfId="0" applyNumberFormat="1" applyFill="1"/>
    <xf numFmtId="9" fontId="0" fillId="0" borderId="0" xfId="1" applyFont="1"/>
    <xf numFmtId="1" fontId="0" fillId="2" borderId="0" xfId="0" applyNumberFormat="1" applyFill="1"/>
    <xf numFmtId="1" fontId="0" fillId="9" borderId="0" xfId="0" applyNumberFormat="1" applyFill="1"/>
    <xf numFmtId="1" fontId="4" fillId="8" borderId="0" xfId="0" applyNumberFormat="1" applyFont="1" applyFill="1"/>
    <xf numFmtId="1" fontId="4" fillId="8" borderId="2" xfId="0" applyNumberFormat="1" applyFont="1" applyFill="1" applyBorder="1"/>
    <xf numFmtId="1" fontId="0" fillId="2" borderId="2" xfId="0" applyNumberFormat="1" applyFill="1" applyBorder="1"/>
    <xf numFmtId="1" fontId="9" fillId="9" borderId="2" xfId="0" applyNumberFormat="1" applyFont="1" applyFill="1" applyBorder="1"/>
    <xf numFmtId="0" fontId="4" fillId="8" borderId="2" xfId="0" applyFont="1" applyFill="1" applyBorder="1"/>
    <xf numFmtId="1" fontId="0" fillId="9" borderId="2" xfId="0" applyNumberFormat="1" applyFill="1" applyBorder="1"/>
    <xf numFmtId="0" fontId="21" fillId="0" borderId="0" xfId="0" applyFont="1"/>
    <xf numFmtId="49" fontId="0" fillId="0" borderId="2" xfId="0" applyNumberFormat="1" applyBorder="1"/>
    <xf numFmtId="1" fontId="0" fillId="0" borderId="2" xfId="0" applyNumberFormat="1" applyBorder="1"/>
    <xf numFmtId="1" fontId="2" fillId="0" borderId="2" xfId="0" applyNumberFormat="1" applyFont="1" applyBorder="1"/>
    <xf numFmtId="1" fontId="22" fillId="0" borderId="2" xfId="0" applyNumberFormat="1" applyFont="1" applyBorder="1"/>
    <xf numFmtId="0" fontId="3" fillId="0" borderId="2" xfId="0" applyFont="1" applyBorder="1"/>
    <xf numFmtId="1" fontId="9" fillId="0" borderId="2" xfId="0" applyNumberFormat="1" applyFont="1" applyBorder="1"/>
    <xf numFmtId="49" fontId="3" fillId="0" borderId="2" xfId="0" applyNumberFormat="1" applyFont="1" applyBorder="1"/>
    <xf numFmtId="0" fontId="2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right"/>
    </xf>
    <xf numFmtId="16" fontId="16" fillId="3" borderId="22" xfId="0" applyNumberFormat="1" applyFont="1" applyFill="1" applyBorder="1" applyAlignment="1">
      <alignment vertical="center"/>
    </xf>
    <xf numFmtId="9" fontId="5" fillId="3" borderId="0" xfId="1" applyFont="1" applyFill="1" applyAlignment="1">
      <alignment horizontal="right"/>
    </xf>
    <xf numFmtId="9" fontId="2" fillId="3" borderId="4" xfId="0" applyNumberFormat="1" applyFont="1" applyFill="1" applyBorder="1" applyAlignment="1">
      <alignment horizontal="center" wrapText="1"/>
    </xf>
    <xf numFmtId="9" fontId="2" fillId="3" borderId="0" xfId="0" applyNumberFormat="1" applyFont="1" applyFill="1" applyAlignment="1">
      <alignment horizontal="center" wrapText="1"/>
    </xf>
    <xf numFmtId="9" fontId="2" fillId="3" borderId="22" xfId="0" applyNumberFormat="1" applyFont="1" applyFill="1" applyBorder="1" applyAlignment="1">
      <alignment horizontal="center" wrapText="1"/>
    </xf>
    <xf numFmtId="0" fontId="13" fillId="3" borderId="0" xfId="0" applyFont="1" applyFill="1"/>
    <xf numFmtId="9" fontId="14" fillId="3" borderId="25" xfId="1" applyFont="1" applyFill="1" applyBorder="1" applyAlignment="1">
      <alignment horizontal="center" vertical="center"/>
    </xf>
    <xf numFmtId="9" fontId="14" fillId="3" borderId="28" xfId="1" applyFont="1" applyFill="1" applyBorder="1" applyAlignment="1">
      <alignment horizontal="center" vertical="center"/>
    </xf>
    <xf numFmtId="9" fontId="14" fillId="3" borderId="31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9" fontId="3" fillId="0" borderId="0" xfId="0" applyNumberFormat="1" applyFont="1"/>
    <xf numFmtId="0" fontId="3" fillId="13" borderId="0" xfId="0" applyFont="1" applyFill="1"/>
    <xf numFmtId="0" fontId="3" fillId="13" borderId="0" xfId="0" applyFont="1" applyFill="1" applyAlignment="1">
      <alignment horizontal="left"/>
    </xf>
    <xf numFmtId="0" fontId="0" fillId="13" borderId="0" xfId="0" applyFill="1"/>
    <xf numFmtId="0" fontId="3" fillId="0" borderId="0" xfId="0" applyFont="1" applyAlignment="1">
      <alignment horizontal="left"/>
    </xf>
    <xf numFmtId="16" fontId="0" fillId="0" borderId="0" xfId="0" quotePrefix="1" applyNumberFormat="1" applyAlignment="1">
      <alignment horizontal="left"/>
    </xf>
    <xf numFmtId="0" fontId="20" fillId="0" borderId="0" xfId="0" applyFont="1"/>
    <xf numFmtId="0" fontId="3" fillId="14" borderId="0" xfId="0" applyFont="1" applyFill="1"/>
    <xf numFmtId="0" fontId="3" fillId="14" borderId="0" xfId="0" applyFont="1" applyFill="1" applyAlignment="1">
      <alignment horizontal="left"/>
    </xf>
    <xf numFmtId="0" fontId="0" fillId="14" borderId="0" xfId="0" applyFill="1"/>
    <xf numFmtId="0" fontId="0" fillId="0" borderId="0" xfId="0" quotePrefix="1" applyAlignment="1">
      <alignment horizontal="left"/>
    </xf>
    <xf numFmtId="1" fontId="23" fillId="0" borderId="0" xfId="0" applyNumberFormat="1" applyFont="1"/>
    <xf numFmtId="0" fontId="20" fillId="0" borderId="45" xfId="0" applyFont="1" applyBorder="1"/>
    <xf numFmtId="0" fontId="20" fillId="0" borderId="46" xfId="0" applyFont="1" applyBorder="1"/>
    <xf numFmtId="0" fontId="20" fillId="0" borderId="43" xfId="0" applyFont="1" applyBorder="1"/>
    <xf numFmtId="165" fontId="3" fillId="0" borderId="0" xfId="0" applyNumberFormat="1" applyFont="1"/>
    <xf numFmtId="0" fontId="3" fillId="15" borderId="0" xfId="0" applyFont="1" applyFill="1"/>
    <xf numFmtId="0" fontId="3" fillId="15" borderId="0" xfId="0" applyFont="1" applyFill="1" applyAlignment="1">
      <alignment horizontal="left"/>
    </xf>
    <xf numFmtId="0" fontId="3" fillId="16" borderId="0" xfId="0" applyFont="1" applyFill="1"/>
    <xf numFmtId="0" fontId="0" fillId="16" borderId="0" xfId="0" applyFill="1"/>
    <xf numFmtId="0" fontId="3" fillId="17" borderId="0" xfId="0" applyFont="1" applyFill="1"/>
    <xf numFmtId="0" fontId="0" fillId="17" borderId="0" xfId="0" applyFill="1"/>
    <xf numFmtId="0" fontId="0" fillId="17" borderId="0" xfId="0" applyFill="1" applyAlignment="1">
      <alignment horizontal="left"/>
    </xf>
    <xf numFmtId="1" fontId="3" fillId="17" borderId="0" xfId="0" applyNumberFormat="1" applyFont="1" applyFill="1"/>
    <xf numFmtId="165" fontId="3" fillId="17" borderId="0" xfId="0" applyNumberFormat="1" applyFont="1" applyFill="1"/>
    <xf numFmtId="9" fontId="1" fillId="0" borderId="0" xfId="1"/>
    <xf numFmtId="0" fontId="3" fillId="0" borderId="0" xfId="0" applyFont="1" applyAlignment="1">
      <alignment horizontal="center"/>
    </xf>
    <xf numFmtId="0" fontId="3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3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3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1" fontId="0" fillId="0" borderId="44" xfId="0" applyNumberFormat="1" applyBorder="1" applyAlignment="1">
      <alignment horizontal="left"/>
    </xf>
    <xf numFmtId="0" fontId="8" fillId="0" borderId="0" xfId="0" applyFont="1"/>
    <xf numFmtId="0" fontId="24" fillId="0" borderId="0" xfId="0" applyFont="1"/>
    <xf numFmtId="1" fontId="8" fillId="0" borderId="0" xfId="0" applyNumberFormat="1" applyFont="1"/>
    <xf numFmtId="1" fontId="0" fillId="0" borderId="0" xfId="0" applyNumberFormat="1" applyAlignment="1">
      <alignment horizontal="left"/>
    </xf>
    <xf numFmtId="165" fontId="8" fillId="0" borderId="0" xfId="0" applyNumberFormat="1" applyFont="1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3" fillId="3" borderId="0" xfId="0" applyFont="1" applyFill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5" fillId="0" borderId="41" xfId="0" applyFont="1" applyBorder="1"/>
    <xf numFmtId="0" fontId="25" fillId="3" borderId="0" xfId="0" applyFont="1" applyFill="1" applyAlignment="1">
      <alignment vertical="top"/>
    </xf>
    <xf numFmtId="9" fontId="2" fillId="0" borderId="42" xfId="1" applyFont="1" applyBorder="1"/>
    <xf numFmtId="9" fontId="2" fillId="0" borderId="43" xfId="0" applyNumberFormat="1" applyFont="1" applyBorder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left"/>
    </xf>
    <xf numFmtId="0" fontId="30" fillId="0" borderId="0" xfId="0" applyFont="1"/>
    <xf numFmtId="0" fontId="27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3" borderId="2" xfId="0" applyFill="1" applyBorder="1" applyAlignment="1">
      <alignment horizontal="center"/>
    </xf>
    <xf numFmtId="0" fontId="3" fillId="3" borderId="0" xfId="0" applyFont="1" applyFill="1" applyAlignment="1">
      <alignment horizontal="left" wrapText="1"/>
    </xf>
    <xf numFmtId="0" fontId="3" fillId="3" borderId="2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4"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colors>
    <mruColors>
      <color rgb="FFFFC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7"/>
  <sheetViews>
    <sheetView tabSelected="1" zoomScale="84" workbookViewId="0">
      <selection activeCell="C4" sqref="C4"/>
    </sheetView>
  </sheetViews>
  <sheetFormatPr defaultColWidth="11" defaultRowHeight="15.5"/>
  <cols>
    <col min="1" max="1" width="8.58203125" customWidth="1"/>
    <col min="2" max="2" width="10.5" customWidth="1"/>
    <col min="3" max="3" width="6.83203125" style="245" customWidth="1"/>
    <col min="4" max="4" width="40.58203125" customWidth="1"/>
    <col min="5" max="5" width="13.33203125" style="39" customWidth="1"/>
    <col min="6" max="6" width="6.33203125" customWidth="1"/>
    <col min="7" max="7" width="7.08203125" customWidth="1"/>
    <col min="8" max="8" width="11.33203125" style="39" customWidth="1"/>
    <col min="9" max="9" width="8.5" style="39" customWidth="1"/>
    <col min="10" max="10" width="7.08203125" customWidth="1"/>
    <col min="11" max="11" width="9" style="39" customWidth="1"/>
    <col min="12" max="12" width="74.08203125" customWidth="1"/>
    <col min="13" max="13" width="6.58203125" customWidth="1"/>
    <col min="14" max="14" width="33.58203125" style="39" customWidth="1"/>
    <col min="15" max="15" width="6.83203125" customWidth="1"/>
    <col min="16" max="16" width="28.08203125" customWidth="1"/>
    <col min="17" max="18" width="7.08203125" customWidth="1"/>
  </cols>
  <sheetData>
    <row r="1" spans="1:14" s="298" customFormat="1" ht="31">
      <c r="A1" s="297" t="s">
        <v>0</v>
      </c>
      <c r="C1" s="299"/>
      <c r="E1" s="297"/>
      <c r="H1" s="297"/>
      <c r="I1" s="297"/>
      <c r="K1" s="297"/>
      <c r="N1" s="297"/>
    </row>
    <row r="2" spans="1:14" s="295" customFormat="1" ht="24" customHeight="1">
      <c r="A2" s="294" t="s">
        <v>1</v>
      </c>
      <c r="C2" s="296"/>
      <c r="D2" s="300"/>
      <c r="E2" s="294"/>
      <c r="H2" s="294"/>
      <c r="I2" s="294"/>
      <c r="K2" s="294"/>
      <c r="N2" s="294"/>
    </row>
    <row r="3" spans="1:14" s="295" customFormat="1" ht="21">
      <c r="A3" s="295" t="s">
        <v>2</v>
      </c>
      <c r="C3" s="296"/>
      <c r="E3" s="294"/>
      <c r="H3" s="301"/>
      <c r="I3" s="301"/>
      <c r="J3" s="301"/>
      <c r="K3" s="294"/>
      <c r="N3" s="294"/>
    </row>
    <row r="4" spans="1:14">
      <c r="H4"/>
    </row>
    <row r="5" spans="1:14">
      <c r="A5" s="39"/>
      <c r="H5"/>
    </row>
    <row r="6" spans="1:14" ht="69" customHeight="1" thickBot="1">
      <c r="A6" s="302" t="s">
        <v>3</v>
      </c>
      <c r="B6" s="302"/>
      <c r="C6" s="302" t="s">
        <v>4</v>
      </c>
      <c r="D6" s="302"/>
      <c r="E6" t="s">
        <v>5</v>
      </c>
    </row>
    <row r="7" spans="1:14">
      <c r="A7" s="55" t="s">
        <v>6</v>
      </c>
      <c r="B7" s="288" t="s">
        <v>7</v>
      </c>
      <c r="C7" s="289">
        <v>10</v>
      </c>
      <c r="E7" s="39" t="s">
        <v>8</v>
      </c>
      <c r="H7" s="290">
        <v>500</v>
      </c>
    </row>
    <row r="8" spans="1:14">
      <c r="A8" s="55" t="s">
        <v>9</v>
      </c>
      <c r="B8" s="288" t="s">
        <v>7</v>
      </c>
      <c r="C8" s="289">
        <v>125</v>
      </c>
      <c r="E8" s="39" t="s">
        <v>10</v>
      </c>
      <c r="H8" s="292">
        <v>0.5</v>
      </c>
      <c r="I8" s="53">
        <f>H7*H8</f>
        <v>250</v>
      </c>
    </row>
    <row r="9" spans="1:14" ht="16" thickBot="1">
      <c r="A9" s="55" t="s">
        <v>11</v>
      </c>
      <c r="B9" s="288" t="s">
        <v>7</v>
      </c>
      <c r="C9" s="289">
        <v>10</v>
      </c>
      <c r="E9" s="39" t="s">
        <v>12</v>
      </c>
      <c r="H9" s="293">
        <v>0.05</v>
      </c>
      <c r="I9" s="53">
        <f>I8*H9</f>
        <v>12.5</v>
      </c>
    </row>
    <row r="10" spans="1:14">
      <c r="A10" s="55" t="s">
        <v>13</v>
      </c>
      <c r="B10" s="288" t="s">
        <v>7</v>
      </c>
      <c r="C10" s="289">
        <v>130</v>
      </c>
      <c r="E10" s="39" t="s">
        <v>14</v>
      </c>
      <c r="H10" s="246">
        <f>SUM(H8:H9)</f>
        <v>0.55000000000000004</v>
      </c>
      <c r="I10" s="53">
        <f>SUM(I8:I9)</f>
        <v>262.5</v>
      </c>
    </row>
    <row r="11" spans="1:14">
      <c r="A11" s="55" t="s">
        <v>15</v>
      </c>
      <c r="B11" s="288"/>
      <c r="C11" s="289"/>
    </row>
    <row r="12" spans="1:14">
      <c r="A12" s="55" t="s">
        <v>16</v>
      </c>
      <c r="B12" s="288" t="s">
        <v>7</v>
      </c>
      <c r="C12" s="289">
        <v>30</v>
      </c>
    </row>
    <row r="13" spans="1:14">
      <c r="A13" s="55" t="s">
        <v>17</v>
      </c>
      <c r="B13" s="288"/>
      <c r="C13" s="289"/>
    </row>
    <row r="14" spans="1:14">
      <c r="A14" s="55" t="s">
        <v>18</v>
      </c>
      <c r="B14" s="288"/>
      <c r="C14" s="289"/>
    </row>
    <row r="15" spans="1:14">
      <c r="A15" s="55" t="s">
        <v>19</v>
      </c>
      <c r="B15" s="288"/>
      <c r="C15" s="289"/>
    </row>
    <row r="16" spans="1:14">
      <c r="A16" s="55" t="s">
        <v>20</v>
      </c>
      <c r="B16" s="288" t="s">
        <v>7</v>
      </c>
      <c r="C16" s="289">
        <v>730</v>
      </c>
    </row>
    <row r="17" spans="1:19">
      <c r="A17" s="55" t="s">
        <v>21</v>
      </c>
      <c r="B17" s="288"/>
      <c r="C17" s="289"/>
      <c r="H17" s="246"/>
      <c r="I17" s="53"/>
    </row>
    <row r="18" spans="1:19">
      <c r="A18" s="55" t="s">
        <v>22</v>
      </c>
      <c r="B18" s="288" t="s">
        <v>7</v>
      </c>
      <c r="C18" s="289">
        <v>330</v>
      </c>
      <c r="E18" s="39" t="s">
        <v>23</v>
      </c>
      <c r="H18" s="246"/>
      <c r="I18" s="53"/>
    </row>
    <row r="19" spans="1:19">
      <c r="E19" s="39">
        <f>CEILING(1.3*SUM(E45+E46+E47+E49+E50),1)</f>
        <v>24</v>
      </c>
      <c r="F19" t="s">
        <v>24</v>
      </c>
      <c r="N19" s="39" t="s">
        <v>25</v>
      </c>
    </row>
    <row r="20" spans="1:19">
      <c r="E20" s="39" t="s">
        <v>26</v>
      </c>
    </row>
    <row r="21" spans="1:19">
      <c r="E21" s="53">
        <f>0.7*E19</f>
        <v>16.799999999999997</v>
      </c>
      <c r="F21" t="s">
        <v>27</v>
      </c>
    </row>
    <row r="22" spans="1:19">
      <c r="A22" t="s">
        <v>28</v>
      </c>
      <c r="B22" t="s">
        <v>29</v>
      </c>
      <c r="C22" s="245" t="s">
        <v>30</v>
      </c>
      <c r="D22" t="s">
        <v>31</v>
      </c>
      <c r="H22"/>
      <c r="N22"/>
    </row>
    <row r="23" spans="1:19" s="39" customFormat="1">
      <c r="A23" s="247" t="s">
        <v>32</v>
      </c>
      <c r="B23" s="247"/>
      <c r="C23" s="248"/>
      <c r="D23" s="247"/>
      <c r="E23" s="277" t="s">
        <v>33</v>
      </c>
      <c r="F23" s="249" t="s">
        <v>34</v>
      </c>
      <c r="G23" s="249"/>
      <c r="H23" s="278" t="s">
        <v>35</v>
      </c>
      <c r="I23" s="247" t="s">
        <v>36</v>
      </c>
      <c r="J23" s="249"/>
      <c r="K23" s="277" t="s">
        <v>37</v>
      </c>
      <c r="L23" s="249" t="s">
        <v>38</v>
      </c>
      <c r="M23" s="247" t="s">
        <v>39</v>
      </c>
      <c r="N23" s="249"/>
      <c r="O23" s="247"/>
      <c r="P23" s="247"/>
      <c r="Q23" s="249" t="s">
        <v>40</v>
      </c>
      <c r="R23" s="249"/>
      <c r="S23" s="247"/>
    </row>
    <row r="24" spans="1:19" s="39" customFormat="1">
      <c r="B24" s="39" t="s">
        <v>41</v>
      </c>
      <c r="C24" s="250"/>
      <c r="H24"/>
    </row>
    <row r="25" spans="1:19">
      <c r="C25" s="245">
        <v>83</v>
      </c>
      <c r="D25" t="s">
        <v>42</v>
      </c>
      <c r="E25" s="39">
        <v>1</v>
      </c>
      <c r="H25">
        <v>100</v>
      </c>
      <c r="K25" s="39">
        <f>H25*E25</f>
        <v>100</v>
      </c>
      <c r="N25"/>
      <c r="Q25">
        <v>2</v>
      </c>
      <c r="R25" t="s">
        <v>43</v>
      </c>
    </row>
    <row r="26" spans="1:19">
      <c r="C26" s="251" t="s">
        <v>44</v>
      </c>
      <c r="D26" t="s">
        <v>45</v>
      </c>
      <c r="E26" s="39">
        <f>FLOOR(SUM(E45:E50)/10,1)</f>
        <v>2</v>
      </c>
      <c r="H26">
        <f>Q26</f>
        <v>8</v>
      </c>
      <c r="K26" s="39">
        <f>H26*E26</f>
        <v>16</v>
      </c>
      <c r="L26" t="s">
        <v>46</v>
      </c>
      <c r="M26">
        <v>10</v>
      </c>
      <c r="N26" t="s">
        <v>47</v>
      </c>
      <c r="Q26">
        <v>8</v>
      </c>
      <c r="R26" t="s">
        <v>48</v>
      </c>
    </row>
    <row r="27" spans="1:19">
      <c r="D27" t="s">
        <v>49</v>
      </c>
      <c r="E27" s="39">
        <v>1</v>
      </c>
      <c r="H27">
        <v>8.5</v>
      </c>
      <c r="K27" s="39">
        <f>H27*E27</f>
        <v>8.5</v>
      </c>
      <c r="M27">
        <v>1</v>
      </c>
      <c r="N27" t="s">
        <v>50</v>
      </c>
    </row>
    <row r="28" spans="1:19">
      <c r="D28" t="s">
        <v>51</v>
      </c>
      <c r="E28" s="39">
        <v>1</v>
      </c>
      <c r="H28">
        <v>8.5</v>
      </c>
      <c r="K28" s="39">
        <f>E28*H28</f>
        <v>8.5</v>
      </c>
      <c r="M28">
        <v>1</v>
      </c>
      <c r="N28" t="s">
        <v>50</v>
      </c>
    </row>
    <row r="29" spans="1:19" s="39" customFormat="1">
      <c r="B29" s="39" t="s">
        <v>52</v>
      </c>
      <c r="C29" s="250"/>
      <c r="H29"/>
    </row>
    <row r="30" spans="1:19">
      <c r="C30" s="245">
        <v>83</v>
      </c>
      <c r="D30" t="s">
        <v>53</v>
      </c>
      <c r="E30" s="39">
        <v>1</v>
      </c>
      <c r="F30" s="128">
        <f>C61</f>
        <v>21.152731886405341</v>
      </c>
      <c r="G30" t="s">
        <v>54</v>
      </c>
      <c r="H30" s="128">
        <f>Q30*F30</f>
        <v>42.305463772810683</v>
      </c>
      <c r="K30" s="53">
        <f>H30*E30</f>
        <v>42.305463772810683</v>
      </c>
      <c r="N30" t="s">
        <v>55</v>
      </c>
      <c r="Q30">
        <v>2</v>
      </c>
      <c r="R30" t="s">
        <v>43</v>
      </c>
    </row>
    <row r="31" spans="1:19">
      <c r="D31" t="s">
        <v>56</v>
      </c>
      <c r="E31" s="53">
        <f>MAX(2,FLOOR(C61/M31,1))</f>
        <v>2</v>
      </c>
      <c r="F31" s="128"/>
      <c r="H31" s="48">
        <v>2.5</v>
      </c>
      <c r="K31" s="261">
        <f>H31*E31</f>
        <v>5</v>
      </c>
      <c r="M31">
        <v>30</v>
      </c>
      <c r="N31" t="s">
        <v>57</v>
      </c>
    </row>
    <row r="32" spans="1:19">
      <c r="D32" t="s">
        <v>58</v>
      </c>
      <c r="E32" s="39">
        <v>1</v>
      </c>
      <c r="F32" s="128"/>
      <c r="H32" s="128">
        <f>C61*Q32</f>
        <v>23.268005075045878</v>
      </c>
      <c r="K32" s="53">
        <f>E32*H32</f>
        <v>23.268005075045878</v>
      </c>
      <c r="N32" t="s">
        <v>59</v>
      </c>
      <c r="Q32">
        <v>1.1000000000000001</v>
      </c>
      <c r="R32" t="s">
        <v>43</v>
      </c>
    </row>
    <row r="33" spans="2:18">
      <c r="D33" s="280" t="s">
        <v>60</v>
      </c>
      <c r="H33"/>
      <c r="K33" s="53"/>
      <c r="N33"/>
    </row>
    <row r="34" spans="2:18">
      <c r="C34" s="245">
        <v>73</v>
      </c>
      <c r="D34" s="280" t="s">
        <v>61</v>
      </c>
      <c r="E34" s="280">
        <f>CEILING(C61/M34,1)</f>
        <v>1</v>
      </c>
      <c r="F34" s="280"/>
      <c r="G34" s="280"/>
      <c r="H34" s="280">
        <v>2.5</v>
      </c>
      <c r="I34" s="281"/>
      <c r="J34" s="280"/>
      <c r="K34" s="284"/>
      <c r="L34" t="s">
        <v>62</v>
      </c>
      <c r="M34">
        <v>25</v>
      </c>
      <c r="N34" t="s">
        <v>63</v>
      </c>
    </row>
    <row r="35" spans="2:18">
      <c r="C35" s="245">
        <v>73</v>
      </c>
      <c r="D35" s="280" t="s">
        <v>64</v>
      </c>
      <c r="E35" s="280">
        <v>2</v>
      </c>
      <c r="F35" s="280"/>
      <c r="G35" s="280"/>
      <c r="H35" s="280">
        <v>5</v>
      </c>
      <c r="I35" s="281"/>
      <c r="J35" s="280"/>
      <c r="K35" s="282"/>
      <c r="L35" t="s">
        <v>62</v>
      </c>
      <c r="N35" t="s">
        <v>65</v>
      </c>
    </row>
    <row r="36" spans="2:18">
      <c r="D36" s="280" t="s">
        <v>66</v>
      </c>
      <c r="H36"/>
      <c r="K36" s="53"/>
      <c r="M36" s="17"/>
      <c r="N36"/>
    </row>
    <row r="37" spans="2:18">
      <c r="D37" s="280" t="s">
        <v>67</v>
      </c>
      <c r="H37"/>
      <c r="K37" s="53"/>
      <c r="M37" s="17"/>
      <c r="N37"/>
    </row>
    <row r="38" spans="2:18" s="39" customFormat="1">
      <c r="B38" s="39" t="s">
        <v>68</v>
      </c>
      <c r="C38" s="250"/>
      <c r="H38"/>
    </row>
    <row r="39" spans="2:18">
      <c r="C39" s="245">
        <v>62</v>
      </c>
      <c r="D39" t="s">
        <v>69</v>
      </c>
      <c r="E39" s="39">
        <v>1</v>
      </c>
      <c r="F39" s="128">
        <f>I8*M39</f>
        <v>125</v>
      </c>
      <c r="G39" t="s">
        <v>54</v>
      </c>
      <c r="H39" s="128">
        <f>Q39*F39</f>
        <v>187.5</v>
      </c>
      <c r="K39" s="53">
        <f>H39*E39</f>
        <v>187.5</v>
      </c>
      <c r="L39" t="s">
        <v>70</v>
      </c>
      <c r="M39" s="17">
        <v>0.5</v>
      </c>
      <c r="N39" t="s">
        <v>71</v>
      </c>
      <c r="Q39">
        <v>1.5</v>
      </c>
      <c r="R39" t="s">
        <v>43</v>
      </c>
    </row>
    <row r="40" spans="2:18">
      <c r="C40" s="245">
        <v>64</v>
      </c>
      <c r="D40" t="s">
        <v>72</v>
      </c>
      <c r="E40" s="39">
        <v>1</v>
      </c>
      <c r="H40" s="128">
        <f>H39*M40</f>
        <v>93.75</v>
      </c>
      <c r="K40" s="53">
        <f>H40*E40</f>
        <v>93.75</v>
      </c>
      <c r="M40" s="17">
        <v>0.5</v>
      </c>
      <c r="N40" t="s">
        <v>73</v>
      </c>
    </row>
    <row r="41" spans="2:18" s="39" customFormat="1">
      <c r="B41" s="39" t="s">
        <v>74</v>
      </c>
      <c r="C41" s="250"/>
      <c r="H41"/>
    </row>
    <row r="42" spans="2:18">
      <c r="C42" s="245">
        <v>89</v>
      </c>
      <c r="D42" t="s">
        <v>75</v>
      </c>
      <c r="E42" s="39">
        <v>1</v>
      </c>
      <c r="F42" s="128">
        <f>C61</f>
        <v>21.152731886405341</v>
      </c>
      <c r="G42" t="s">
        <v>54</v>
      </c>
      <c r="H42" s="128">
        <f>C61*Q42</f>
        <v>21.152731886405341</v>
      </c>
      <c r="K42" s="53">
        <f>H42*E42</f>
        <v>21.152731886405341</v>
      </c>
      <c r="L42" t="s">
        <v>76</v>
      </c>
      <c r="N42"/>
      <c r="Q42">
        <v>1</v>
      </c>
      <c r="R42" t="s">
        <v>43</v>
      </c>
    </row>
    <row r="43" spans="2:18">
      <c r="C43" s="256">
        <v>84</v>
      </c>
      <c r="D43" t="s">
        <v>77</v>
      </c>
      <c r="E43" s="257">
        <v>1</v>
      </c>
      <c r="F43">
        <v>30</v>
      </c>
      <c r="G43" t="s">
        <v>54</v>
      </c>
      <c r="H43">
        <f>Q43*F43</f>
        <v>60</v>
      </c>
      <c r="I43" s="39">
        <f>E43*F43</f>
        <v>30</v>
      </c>
      <c r="J43" t="s">
        <v>54</v>
      </c>
      <c r="K43" s="53">
        <f>H43*E43</f>
        <v>60</v>
      </c>
      <c r="L43" t="s">
        <v>76</v>
      </c>
      <c r="M43" s="252"/>
      <c r="N43" s="252"/>
      <c r="Q43">
        <v>2</v>
      </c>
      <c r="R43" t="s">
        <v>43</v>
      </c>
    </row>
    <row r="44" spans="2:18">
      <c r="B44" s="39" t="s">
        <v>78</v>
      </c>
      <c r="D44" s="128"/>
      <c r="H44"/>
      <c r="K44" s="53"/>
      <c r="N44"/>
    </row>
    <row r="45" spans="2:18">
      <c r="C45" s="245">
        <v>84</v>
      </c>
      <c r="D45" s="245" t="s">
        <v>79</v>
      </c>
      <c r="E45" s="39">
        <f>IF(C62&gt;4,FLOOR(C62/M45,1),1)</f>
        <v>1</v>
      </c>
      <c r="H45">
        <v>3.5</v>
      </c>
      <c r="K45" s="261">
        <f t="shared" ref="K45:K53" si="0">H45*E45</f>
        <v>3.5</v>
      </c>
      <c r="M45" s="39">
        <v>5</v>
      </c>
      <c r="N45" t="s">
        <v>80</v>
      </c>
    </row>
    <row r="46" spans="2:18">
      <c r="C46" s="245">
        <v>84</v>
      </c>
      <c r="D46" s="245" t="s">
        <v>81</v>
      </c>
      <c r="E46" s="39">
        <f>M46*'Palvelupisteiden taustalaskenta'!C11</f>
        <v>7</v>
      </c>
      <c r="F46" s="128"/>
      <c r="H46">
        <v>6</v>
      </c>
      <c r="K46" s="53">
        <f t="shared" si="0"/>
        <v>42</v>
      </c>
      <c r="L46" s="245" t="s">
        <v>82</v>
      </c>
      <c r="M46" s="246">
        <v>0.5</v>
      </c>
      <c r="N46" t="s">
        <v>83</v>
      </c>
    </row>
    <row r="47" spans="2:18">
      <c r="C47" s="245">
        <v>84</v>
      </c>
      <c r="D47" s="245" t="s">
        <v>84</v>
      </c>
      <c r="E47" s="39">
        <f>M47*'Palvelupisteiden taustalaskenta'!C11</f>
        <v>7</v>
      </c>
      <c r="F47" s="128"/>
      <c r="H47">
        <v>8.5</v>
      </c>
      <c r="K47" s="53">
        <f t="shared" si="0"/>
        <v>59.5</v>
      </c>
      <c r="L47" s="245" t="s">
        <v>85</v>
      </c>
      <c r="M47" s="246">
        <v>0.5</v>
      </c>
      <c r="N47" t="s">
        <v>83</v>
      </c>
    </row>
    <row r="48" spans="2:18">
      <c r="C48" s="245">
        <v>84</v>
      </c>
      <c r="D48" s="245" t="s">
        <v>86</v>
      </c>
      <c r="E48" s="53">
        <f>'Palvelupisteiden taustalaskenta'!C8</f>
        <v>6</v>
      </c>
      <c r="F48" s="128"/>
      <c r="H48">
        <v>6</v>
      </c>
      <c r="K48" s="53">
        <f t="shared" si="0"/>
        <v>36</v>
      </c>
      <c r="L48" t="s">
        <v>87</v>
      </c>
      <c r="N48" t="s">
        <v>88</v>
      </c>
    </row>
    <row r="49" spans="1:19">
      <c r="C49" s="245">
        <v>84</v>
      </c>
      <c r="D49" s="245" t="s">
        <v>89</v>
      </c>
      <c r="E49" s="53">
        <f>'Palvelupisteiden taustalaskenta'!C10</f>
        <v>1</v>
      </c>
      <c r="F49" s="128"/>
      <c r="H49">
        <v>8.5</v>
      </c>
      <c r="K49" s="261">
        <f t="shared" si="0"/>
        <v>8.5</v>
      </c>
      <c r="N49" t="s">
        <v>88</v>
      </c>
    </row>
    <row r="50" spans="1:19">
      <c r="C50" s="285" t="s">
        <v>90</v>
      </c>
      <c r="D50" s="245" t="s">
        <v>91</v>
      </c>
      <c r="E50" s="53">
        <f>'Palvelupisteiden taustalaskenta'!C9</f>
        <v>2</v>
      </c>
      <c r="F50" s="128"/>
      <c r="H50">
        <v>16</v>
      </c>
      <c r="K50" s="53">
        <f t="shared" si="0"/>
        <v>32</v>
      </c>
      <c r="N50" t="s">
        <v>88</v>
      </c>
    </row>
    <row r="51" spans="1:19">
      <c r="B51" s="39" t="s">
        <v>92</v>
      </c>
      <c r="H51"/>
      <c r="K51" s="53"/>
      <c r="N51"/>
    </row>
    <row r="52" spans="1:19">
      <c r="D52" s="245" t="s">
        <v>93</v>
      </c>
      <c r="E52" s="39">
        <v>1</v>
      </c>
      <c r="F52">
        <v>1</v>
      </c>
      <c r="H52">
        <v>9</v>
      </c>
      <c r="K52" s="53">
        <f t="shared" si="0"/>
        <v>9</v>
      </c>
      <c r="M52" s="39">
        <v>1</v>
      </c>
      <c r="N52" t="s">
        <v>94</v>
      </c>
    </row>
    <row r="53" spans="1:19">
      <c r="D53" s="245" t="s">
        <v>95</v>
      </c>
      <c r="E53" s="53">
        <f>'Palvelupisteiden taustalaskenta'!C12</f>
        <v>1</v>
      </c>
      <c r="F53" s="128">
        <v>1</v>
      </c>
      <c r="H53">
        <v>2</v>
      </c>
      <c r="K53" s="53">
        <f t="shared" si="0"/>
        <v>2</v>
      </c>
      <c r="N53" t="s">
        <v>96</v>
      </c>
    </row>
    <row r="54" spans="1:19">
      <c r="A54" s="39" t="s">
        <v>97</v>
      </c>
      <c r="B54" s="39"/>
      <c r="C54" s="250"/>
      <c r="D54" s="128"/>
      <c r="F54" s="39"/>
      <c r="G54" s="39"/>
      <c r="H54"/>
      <c r="J54" s="39"/>
      <c r="K54" s="53">
        <f>SUM(K24:K53)</f>
        <v>758.47620073426197</v>
      </c>
      <c r="M54" s="39"/>
      <c r="O54" s="39"/>
      <c r="P54" s="39"/>
      <c r="Q54" s="39"/>
      <c r="R54" s="39"/>
    </row>
    <row r="55" spans="1:19">
      <c r="D55" s="17"/>
      <c r="E55" s="53"/>
      <c r="F55" s="128"/>
      <c r="H55" s="128"/>
      <c r="K55" s="53"/>
      <c r="M55" s="252"/>
      <c r="N55" s="252"/>
      <c r="P55" s="128"/>
    </row>
    <row r="56" spans="1:19">
      <c r="A56" s="39" t="s">
        <v>98</v>
      </c>
      <c r="H56"/>
      <c r="N56"/>
    </row>
    <row r="57" spans="1:19">
      <c r="B57" t="s">
        <v>99</v>
      </c>
      <c r="E57" s="246">
        <v>0.15</v>
      </c>
      <c r="K57" s="53">
        <f>E57*K54</f>
        <v>113.77143011013929</v>
      </c>
      <c r="N57"/>
    </row>
    <row r="58" spans="1:19">
      <c r="B58" t="s">
        <v>100</v>
      </c>
      <c r="E58" s="246">
        <v>0.05</v>
      </c>
      <c r="K58" s="53">
        <f>E58*K$54</f>
        <v>37.9238100367131</v>
      </c>
      <c r="N58"/>
    </row>
    <row r="59" spans="1:19">
      <c r="A59" s="39" t="s">
        <v>101</v>
      </c>
      <c r="H59"/>
      <c r="N59"/>
    </row>
    <row r="60" spans="1:19" ht="16" thickBot="1">
      <c r="B60" t="s">
        <v>14</v>
      </c>
      <c r="H60"/>
      <c r="K60" s="53">
        <f>K58+K57+K54</f>
        <v>910.17144088111434</v>
      </c>
      <c r="N60"/>
    </row>
    <row r="61" spans="1:19" ht="16" thickBot="1">
      <c r="A61" t="s">
        <v>102</v>
      </c>
      <c r="C61" s="279">
        <f>'Palvelupisteiden taustalaskenta'!G12</f>
        <v>21.152731886405341</v>
      </c>
      <c r="H61" s="53"/>
    </row>
    <row r="62" spans="1:19">
      <c r="A62" t="s">
        <v>103</v>
      </c>
      <c r="C62" s="283">
        <f>COUNTIF('Palvelupisteiden taustalaskenta'!C18:C29,"x")</f>
        <v>7</v>
      </c>
      <c r="H62" s="53"/>
    </row>
    <row r="63" spans="1:19">
      <c r="H63"/>
      <c r="N63"/>
    </row>
    <row r="64" spans="1:19" s="39" customFormat="1">
      <c r="A64" s="253" t="s">
        <v>104</v>
      </c>
      <c r="B64" s="253"/>
      <c r="C64" s="254"/>
      <c r="D64" s="253"/>
      <c r="E64" s="275" t="s">
        <v>33</v>
      </c>
      <c r="F64" s="255" t="s">
        <v>34</v>
      </c>
      <c r="G64" s="253"/>
      <c r="H64" s="276" t="s">
        <v>35</v>
      </c>
      <c r="I64" s="253" t="s">
        <v>105</v>
      </c>
      <c r="J64" s="253"/>
      <c r="K64" s="275" t="s">
        <v>37</v>
      </c>
      <c r="L64" s="255" t="s">
        <v>38</v>
      </c>
      <c r="M64" s="255" t="s">
        <v>39</v>
      </c>
      <c r="N64" s="255"/>
      <c r="O64" s="253"/>
      <c r="P64" s="253"/>
      <c r="Q64" s="255" t="s">
        <v>40</v>
      </c>
      <c r="R64" s="255"/>
      <c r="S64" s="253"/>
    </row>
    <row r="65" spans="1:18" s="39" customFormat="1">
      <c r="A65" s="39" t="s">
        <v>106</v>
      </c>
      <c r="C65" s="250"/>
      <c r="I65" s="53">
        <f>M65*SUM(I70:I73)+I77</f>
        <v>111.5</v>
      </c>
      <c r="J65" s="39" t="s">
        <v>54</v>
      </c>
      <c r="M65" s="246">
        <v>0.5</v>
      </c>
      <c r="N65" s="39" t="s">
        <v>107</v>
      </c>
    </row>
    <row r="66" spans="1:18" s="39" customFormat="1">
      <c r="B66" s="39" t="s">
        <v>42</v>
      </c>
      <c r="C66" s="250"/>
      <c r="H66"/>
    </row>
    <row r="67" spans="1:18">
      <c r="C67" s="245">
        <v>83</v>
      </c>
      <c r="D67" t="s">
        <v>108</v>
      </c>
      <c r="E67" s="39">
        <v>1</v>
      </c>
      <c r="F67" s="128">
        <f>M65*SUM(I70:I73)+I77</f>
        <v>111.5</v>
      </c>
      <c r="G67" s="128" t="s">
        <v>54</v>
      </c>
      <c r="H67" s="128">
        <f>Q67*F67</f>
        <v>111.5</v>
      </c>
      <c r="I67" s="53">
        <f>F67</f>
        <v>111.5</v>
      </c>
      <c r="J67" s="128" t="s">
        <v>54</v>
      </c>
      <c r="K67" s="53">
        <f>H67*E67</f>
        <v>111.5</v>
      </c>
      <c r="N67"/>
      <c r="Q67">
        <v>1</v>
      </c>
      <c r="R67" t="s">
        <v>43</v>
      </c>
    </row>
    <row r="68" spans="1:18">
      <c r="C68" s="245">
        <v>73</v>
      </c>
      <c r="D68" t="s">
        <v>109</v>
      </c>
      <c r="E68" s="39">
        <f>_xlfn.CEILING.MATH(F67/M68)</f>
        <v>5</v>
      </c>
      <c r="H68">
        <v>2.5</v>
      </c>
      <c r="K68" s="39">
        <f>H68*E68</f>
        <v>12.5</v>
      </c>
      <c r="M68">
        <v>25</v>
      </c>
      <c r="N68" t="s">
        <v>110</v>
      </c>
    </row>
    <row r="69" spans="1:18" s="39" customFormat="1">
      <c r="B69" s="39" t="s">
        <v>111</v>
      </c>
      <c r="C69" s="250"/>
      <c r="H69"/>
    </row>
    <row r="70" spans="1:18" ht="16" thickBot="1">
      <c r="C70" s="256" t="s">
        <v>90</v>
      </c>
      <c r="D70" t="s">
        <v>112</v>
      </c>
      <c r="E70" s="53">
        <f>_xlfn.FLOOR.MATH(I$8/M70)</f>
        <v>0</v>
      </c>
      <c r="F70">
        <v>150</v>
      </c>
      <c r="G70" t="s">
        <v>54</v>
      </c>
      <c r="H70" s="252">
        <f>Q70*F70</f>
        <v>225</v>
      </c>
      <c r="I70" s="39">
        <f t="shared" ref="I70:I74" si="1">E70*F70</f>
        <v>0</v>
      </c>
      <c r="J70" t="s">
        <v>54</v>
      </c>
      <c r="K70" s="257">
        <f t="shared" ref="K70:K75" si="2">H70*E70</f>
        <v>0</v>
      </c>
      <c r="L70" t="s">
        <v>113</v>
      </c>
      <c r="M70" s="252">
        <v>600</v>
      </c>
      <c r="N70" s="252" t="s">
        <v>114</v>
      </c>
      <c r="Q70">
        <v>1.5</v>
      </c>
      <c r="R70" t="s">
        <v>43</v>
      </c>
    </row>
    <row r="71" spans="1:18">
      <c r="C71" s="256" t="s">
        <v>90</v>
      </c>
      <c r="D71" t="s">
        <v>115</v>
      </c>
      <c r="E71" s="53">
        <f>_xlfn.CEILING.MATH(I$10/M71)</f>
        <v>3</v>
      </c>
      <c r="F71">
        <v>20</v>
      </c>
      <c r="G71" t="s">
        <v>54</v>
      </c>
      <c r="H71" s="252">
        <f>Q71*F71</f>
        <v>40</v>
      </c>
      <c r="I71" s="39">
        <f t="shared" si="1"/>
        <v>60</v>
      </c>
      <c r="J71" t="s">
        <v>54</v>
      </c>
      <c r="K71" s="53">
        <f t="shared" si="2"/>
        <v>120</v>
      </c>
      <c r="L71" t="s">
        <v>116</v>
      </c>
      <c r="M71" s="258">
        <v>100</v>
      </c>
      <c r="N71" s="252" t="s">
        <v>117</v>
      </c>
      <c r="Q71">
        <v>2</v>
      </c>
      <c r="R71" t="s">
        <v>43</v>
      </c>
    </row>
    <row r="72" spans="1:18">
      <c r="C72" s="256" t="s">
        <v>90</v>
      </c>
      <c r="D72" t="s">
        <v>118</v>
      </c>
      <c r="E72" s="53">
        <f>_xlfn.CEILING.MATH(I$10/M72)</f>
        <v>6</v>
      </c>
      <c r="F72">
        <v>12</v>
      </c>
      <c r="G72" t="s">
        <v>54</v>
      </c>
      <c r="H72" s="252">
        <f>Q72*F72</f>
        <v>24</v>
      </c>
      <c r="I72" s="39">
        <f t="shared" si="1"/>
        <v>72</v>
      </c>
      <c r="J72" t="s">
        <v>54</v>
      </c>
      <c r="K72" s="53">
        <f t="shared" si="2"/>
        <v>144</v>
      </c>
      <c r="L72" t="s">
        <v>119</v>
      </c>
      <c r="M72" s="259">
        <v>50</v>
      </c>
      <c r="N72" s="252" t="s">
        <v>117</v>
      </c>
      <c r="Q72">
        <v>2</v>
      </c>
      <c r="R72" t="s">
        <v>43</v>
      </c>
    </row>
    <row r="73" spans="1:18" ht="16" thickBot="1">
      <c r="C73" s="256" t="s">
        <v>90</v>
      </c>
      <c r="D73" t="s">
        <v>120</v>
      </c>
      <c r="E73" s="53">
        <f>_xlfn.CEILING.MATH(I$10/M73)</f>
        <v>11</v>
      </c>
      <c r="F73">
        <v>6</v>
      </c>
      <c r="G73" t="s">
        <v>54</v>
      </c>
      <c r="H73" s="252">
        <f>Q73*F73</f>
        <v>12</v>
      </c>
      <c r="I73" s="39">
        <f t="shared" si="1"/>
        <v>66</v>
      </c>
      <c r="J73" t="s">
        <v>54</v>
      </c>
      <c r="K73" s="53">
        <f t="shared" si="2"/>
        <v>132</v>
      </c>
      <c r="M73" s="260">
        <v>25</v>
      </c>
      <c r="N73" s="252" t="s">
        <v>117</v>
      </c>
      <c r="Q73">
        <v>2</v>
      </c>
      <c r="R73" t="s">
        <v>43</v>
      </c>
    </row>
    <row r="74" spans="1:18">
      <c r="C74" s="256" t="s">
        <v>90</v>
      </c>
      <c r="D74" t="s">
        <v>121</v>
      </c>
      <c r="E74" s="39">
        <v>1</v>
      </c>
      <c r="F74">
        <v>4</v>
      </c>
      <c r="G74" t="s">
        <v>122</v>
      </c>
      <c r="H74" s="252">
        <v>25</v>
      </c>
      <c r="I74" s="39">
        <f t="shared" si="1"/>
        <v>4</v>
      </c>
      <c r="J74" t="s">
        <v>54</v>
      </c>
      <c r="K74" s="39">
        <f t="shared" si="2"/>
        <v>25</v>
      </c>
      <c r="M74" s="252"/>
      <c r="N74" s="252"/>
      <c r="Q74">
        <v>6</v>
      </c>
      <c r="R74" t="s">
        <v>43</v>
      </c>
    </row>
    <row r="75" spans="1:18">
      <c r="C75" s="256" t="s">
        <v>90</v>
      </c>
      <c r="D75" t="s">
        <v>123</v>
      </c>
      <c r="E75" s="53">
        <f>_xlfn.FLOOR.MATH(I$8/M75)</f>
        <v>1</v>
      </c>
      <c r="F75">
        <v>50</v>
      </c>
      <c r="G75" t="s">
        <v>54</v>
      </c>
      <c r="H75">
        <v>150</v>
      </c>
      <c r="I75" s="39">
        <f>Q75*F75*E75</f>
        <v>150</v>
      </c>
      <c r="J75" t="s">
        <v>54</v>
      </c>
      <c r="K75" s="39">
        <f t="shared" si="2"/>
        <v>150</v>
      </c>
      <c r="L75" t="s">
        <v>124</v>
      </c>
      <c r="M75" s="252">
        <v>150</v>
      </c>
      <c r="N75" s="252" t="s">
        <v>114</v>
      </c>
      <c r="Q75">
        <v>3</v>
      </c>
      <c r="R75" t="s">
        <v>43</v>
      </c>
    </row>
    <row r="76" spans="1:18" s="39" customFormat="1">
      <c r="B76" s="39" t="s">
        <v>125</v>
      </c>
      <c r="C76" s="250"/>
      <c r="H76"/>
      <c r="M76" s="252"/>
      <c r="N76" s="252"/>
    </row>
    <row r="77" spans="1:18">
      <c r="C77" s="256" t="s">
        <v>126</v>
      </c>
      <c r="D77" t="s">
        <v>127</v>
      </c>
      <c r="E77" s="53">
        <f>_xlfn.CEILING.MATH(I77/M77)</f>
        <v>2</v>
      </c>
      <c r="F77" s="128">
        <f>I77/E77</f>
        <v>6.25</v>
      </c>
      <c r="G77" s="128" t="s">
        <v>128</v>
      </c>
      <c r="H77" s="128">
        <f>Q77*I77/E77</f>
        <v>37.5</v>
      </c>
      <c r="I77" s="128">
        <f>O77*I8</f>
        <v>12.5</v>
      </c>
      <c r="J77" s="128"/>
      <c r="K77" s="53">
        <f>H77*E77</f>
        <v>75</v>
      </c>
      <c r="L77" t="s">
        <v>129</v>
      </c>
      <c r="M77" s="252">
        <v>12</v>
      </c>
      <c r="N77" s="252" t="s">
        <v>130</v>
      </c>
      <c r="O77" s="17">
        <v>0.05</v>
      </c>
      <c r="P77" t="s">
        <v>131</v>
      </c>
      <c r="Q77">
        <v>6</v>
      </c>
      <c r="R77" t="s">
        <v>132</v>
      </c>
    </row>
    <row r="78" spans="1:18">
      <c r="D78" s="17"/>
      <c r="E78" s="53"/>
      <c r="F78" s="128"/>
      <c r="H78" s="53"/>
      <c r="M78" s="252"/>
      <c r="N78" s="53"/>
      <c r="P78" s="128"/>
    </row>
    <row r="79" spans="1:18" s="39" customFormat="1">
      <c r="A79" s="39" t="s">
        <v>97</v>
      </c>
      <c r="C79" s="250"/>
      <c r="H79"/>
      <c r="K79" s="53">
        <f>SUM(K65:K78)</f>
        <v>770</v>
      </c>
    </row>
    <row r="80" spans="1:18" s="39" customFormat="1">
      <c r="A80"/>
      <c r="B80"/>
      <c r="C80" s="245"/>
      <c r="D80" s="17"/>
      <c r="E80" s="53"/>
      <c r="F80" s="128"/>
      <c r="G80"/>
      <c r="H80" s="128"/>
      <c r="J80"/>
      <c r="K80" s="53"/>
      <c r="O80"/>
      <c r="P80" s="128"/>
      <c r="Q80"/>
      <c r="R80"/>
    </row>
    <row r="81" spans="1:19">
      <c r="A81" s="39" t="s">
        <v>98</v>
      </c>
    </row>
    <row r="82" spans="1:19">
      <c r="B82" t="s">
        <v>99</v>
      </c>
      <c r="E82" s="17">
        <v>0.15</v>
      </c>
      <c r="H82"/>
      <c r="I82"/>
      <c r="K82" s="128">
        <f>E82*K79</f>
        <v>115.5</v>
      </c>
    </row>
    <row r="83" spans="1:19">
      <c r="B83" t="s">
        <v>100</v>
      </c>
      <c r="E83" s="17">
        <v>0.05</v>
      </c>
      <c r="H83"/>
      <c r="I83"/>
      <c r="K83" s="128">
        <f>E83*K$114</f>
        <v>139.6</v>
      </c>
    </row>
    <row r="84" spans="1:19">
      <c r="A84" s="39" t="s">
        <v>101</v>
      </c>
      <c r="H84"/>
    </row>
    <row r="85" spans="1:19">
      <c r="B85" t="s">
        <v>14</v>
      </c>
      <c r="H85"/>
      <c r="K85" s="53">
        <f>K83+K82+K79</f>
        <v>1025.0999999999999</v>
      </c>
      <c r="N85"/>
    </row>
    <row r="86" spans="1:19">
      <c r="B86" t="s">
        <v>133</v>
      </c>
      <c r="H86"/>
      <c r="K86" s="261">
        <f>K85/H7</f>
        <v>2.0501999999999998</v>
      </c>
    </row>
    <row r="87" spans="1:19">
      <c r="B87" t="s">
        <v>134</v>
      </c>
      <c r="H87"/>
      <c r="K87" s="261">
        <f>K85/I8</f>
        <v>4.1003999999999996</v>
      </c>
    </row>
    <row r="88" spans="1:19">
      <c r="H88"/>
      <c r="N88"/>
    </row>
    <row r="89" spans="1:19" s="39" customFormat="1">
      <c r="A89" s="262" t="s">
        <v>135</v>
      </c>
      <c r="B89" s="262"/>
      <c r="C89" s="263"/>
      <c r="D89" s="262"/>
      <c r="E89" s="273" t="s">
        <v>33</v>
      </c>
      <c r="F89" s="265" t="s">
        <v>34</v>
      </c>
      <c r="G89" s="265"/>
      <c r="H89" s="274" t="s">
        <v>35</v>
      </c>
      <c r="I89" s="264" t="s">
        <v>105</v>
      </c>
      <c r="J89" s="265"/>
      <c r="K89" s="273" t="s">
        <v>37</v>
      </c>
      <c r="L89" s="265" t="s">
        <v>38</v>
      </c>
      <c r="M89" s="265" t="s">
        <v>39</v>
      </c>
      <c r="N89" s="265"/>
      <c r="O89" s="262"/>
      <c r="P89" s="262"/>
      <c r="Q89" s="265" t="s">
        <v>40</v>
      </c>
      <c r="R89" s="265"/>
      <c r="S89" s="262"/>
    </row>
    <row r="90" spans="1:19">
      <c r="B90" s="39" t="s">
        <v>136</v>
      </c>
      <c r="C90" s="250"/>
      <c r="D90" s="39"/>
      <c r="F90" s="39"/>
      <c r="G90" s="39"/>
      <c r="H90"/>
      <c r="J90" s="39"/>
      <c r="M90" s="39"/>
      <c r="O90" s="39"/>
      <c r="P90" s="39"/>
      <c r="Q90" s="39"/>
      <c r="R90" s="39"/>
    </row>
    <row r="91" spans="1:19">
      <c r="C91" s="245">
        <v>51</v>
      </c>
      <c r="D91" t="s">
        <v>137</v>
      </c>
      <c r="E91" s="39">
        <v>1</v>
      </c>
      <c r="H91" s="128">
        <f>Q91*I$8</f>
        <v>100</v>
      </c>
      <c r="K91" s="53">
        <f>H91*E91</f>
        <v>100</v>
      </c>
      <c r="Q91">
        <v>0.4</v>
      </c>
      <c r="R91" t="s">
        <v>132</v>
      </c>
    </row>
    <row r="92" spans="1:19" s="39" customFormat="1">
      <c r="B92"/>
      <c r="C92" s="245">
        <v>75</v>
      </c>
      <c r="D92" t="s">
        <v>138</v>
      </c>
      <c r="E92" s="39">
        <v>1</v>
      </c>
      <c r="F92"/>
      <c r="G92"/>
      <c r="H92" s="128">
        <f>Q92*I$8</f>
        <v>250</v>
      </c>
      <c r="I92" s="39">
        <f>H92/O92</f>
        <v>83.333333333333329</v>
      </c>
      <c r="J92"/>
      <c r="K92" s="53">
        <f>H92*E92</f>
        <v>250</v>
      </c>
      <c r="O92">
        <v>3</v>
      </c>
      <c r="P92" t="s">
        <v>139</v>
      </c>
      <c r="Q92">
        <v>1</v>
      </c>
      <c r="R92" t="s">
        <v>132</v>
      </c>
    </row>
    <row r="93" spans="1:19">
      <c r="C93" s="245">
        <v>73</v>
      </c>
      <c r="D93" t="s">
        <v>109</v>
      </c>
      <c r="E93" s="39">
        <f>_xlfn.CEILING.MATH(I$8/M93)</f>
        <v>17</v>
      </c>
      <c r="H93">
        <v>2.5</v>
      </c>
      <c r="K93" s="53">
        <f>H93*E93</f>
        <v>42.5</v>
      </c>
      <c r="M93">
        <v>15</v>
      </c>
      <c r="N93" s="252" t="s">
        <v>114</v>
      </c>
    </row>
    <row r="94" spans="1:19">
      <c r="B94" s="39" t="s">
        <v>140</v>
      </c>
      <c r="C94" s="250"/>
      <c r="H94"/>
      <c r="N94"/>
    </row>
    <row r="95" spans="1:19" s="39" customFormat="1">
      <c r="B95"/>
      <c r="C95" s="245">
        <v>21</v>
      </c>
      <c r="D95" t="s">
        <v>141</v>
      </c>
      <c r="E95" s="39">
        <v>2</v>
      </c>
      <c r="F95"/>
      <c r="G95"/>
      <c r="H95">
        <v>12</v>
      </c>
      <c r="J95"/>
      <c r="K95" s="39">
        <f>H95*E95</f>
        <v>24</v>
      </c>
      <c r="L95" t="s">
        <v>142</v>
      </c>
      <c r="M95"/>
      <c r="N95"/>
      <c r="O95"/>
      <c r="P95"/>
      <c r="Q95"/>
      <c r="R95"/>
    </row>
    <row r="96" spans="1:19">
      <c r="C96" s="245">
        <v>21</v>
      </c>
      <c r="D96" t="s">
        <v>143</v>
      </c>
      <c r="E96" s="39">
        <v>2</v>
      </c>
      <c r="H96">
        <v>12</v>
      </c>
      <c r="K96" s="39">
        <f>H96*E96</f>
        <v>24</v>
      </c>
      <c r="L96" s="39"/>
      <c r="N96"/>
    </row>
    <row r="97" spans="2:18">
      <c r="C97" s="245">
        <v>52</v>
      </c>
      <c r="D97" t="s">
        <v>144</v>
      </c>
      <c r="E97" s="39">
        <v>1</v>
      </c>
      <c r="H97">
        <v>20</v>
      </c>
      <c r="K97" s="39">
        <f>H97*E97</f>
        <v>20</v>
      </c>
      <c r="L97" s="39"/>
      <c r="N97"/>
    </row>
    <row r="98" spans="2:18" ht="16" thickBot="1">
      <c r="B98" s="39" t="s">
        <v>111</v>
      </c>
      <c r="C98" s="250"/>
      <c r="H98"/>
      <c r="L98" s="39"/>
      <c r="N98"/>
    </row>
    <row r="99" spans="2:18">
      <c r="C99" s="251" t="s">
        <v>90</v>
      </c>
      <c r="D99" t="s">
        <v>145</v>
      </c>
      <c r="E99" s="53">
        <f>_xlfn.CEILING.MATH(I$10/M99)</f>
        <v>3</v>
      </c>
      <c r="F99">
        <v>20</v>
      </c>
      <c r="G99" t="s">
        <v>54</v>
      </c>
      <c r="H99" s="252">
        <f>Q99*F99</f>
        <v>40</v>
      </c>
      <c r="I99" s="39">
        <f>E99*F99</f>
        <v>60</v>
      </c>
      <c r="J99" t="s">
        <v>54</v>
      </c>
      <c r="K99" s="53">
        <f>H99*E99</f>
        <v>120</v>
      </c>
      <c r="L99" t="s">
        <v>146</v>
      </c>
      <c r="M99" s="258">
        <v>100</v>
      </c>
      <c r="N99" s="252" t="s">
        <v>114</v>
      </c>
      <c r="Q99">
        <v>2</v>
      </c>
      <c r="R99" t="s">
        <v>43</v>
      </c>
    </row>
    <row r="100" spans="2:18">
      <c r="C100" s="256" t="s">
        <v>90</v>
      </c>
      <c r="D100" t="s">
        <v>118</v>
      </c>
      <c r="E100" s="53">
        <f>_xlfn.CEILING.MATH(I$10/M100)</f>
        <v>6</v>
      </c>
      <c r="F100">
        <v>12</v>
      </c>
      <c r="G100" t="s">
        <v>54</v>
      </c>
      <c r="H100" s="252">
        <f>Q100*F100</f>
        <v>24</v>
      </c>
      <c r="I100" s="39">
        <f>E100*F100</f>
        <v>72</v>
      </c>
      <c r="J100" t="s">
        <v>54</v>
      </c>
      <c r="K100" s="53">
        <f>H100*E100</f>
        <v>144</v>
      </c>
      <c r="L100" t="s">
        <v>147</v>
      </c>
      <c r="M100" s="259">
        <v>50</v>
      </c>
      <c r="N100" s="252" t="s">
        <v>114</v>
      </c>
      <c r="Q100">
        <v>2</v>
      </c>
      <c r="R100" t="s">
        <v>43</v>
      </c>
    </row>
    <row r="101" spans="2:18" ht="16" thickBot="1">
      <c r="C101" s="256" t="s">
        <v>90</v>
      </c>
      <c r="D101" t="s">
        <v>120</v>
      </c>
      <c r="E101" s="53">
        <f>_xlfn.CEILING.MATH(I$10/M101)</f>
        <v>11</v>
      </c>
      <c r="F101">
        <v>6</v>
      </c>
      <c r="G101" t="s">
        <v>54</v>
      </c>
      <c r="H101" s="252">
        <f>Q101*F101</f>
        <v>12</v>
      </c>
      <c r="I101" s="39">
        <f>E101*F101</f>
        <v>66</v>
      </c>
      <c r="J101" t="s">
        <v>54</v>
      </c>
      <c r="K101" s="53">
        <f>H101*E101</f>
        <v>132</v>
      </c>
      <c r="L101" t="s">
        <v>148</v>
      </c>
      <c r="M101" s="260">
        <v>25</v>
      </c>
      <c r="N101" s="252" t="s">
        <v>114</v>
      </c>
      <c r="Q101">
        <v>2</v>
      </c>
      <c r="R101" t="s">
        <v>43</v>
      </c>
    </row>
    <row r="102" spans="2:18">
      <c r="B102" s="39" t="s">
        <v>149</v>
      </c>
      <c r="C102" s="250"/>
      <c r="D102" s="39"/>
      <c r="F102" s="39"/>
      <c r="G102" s="39"/>
      <c r="H102"/>
      <c r="J102" s="39"/>
      <c r="L102" s="39"/>
      <c r="M102" s="39"/>
      <c r="N102" s="252"/>
      <c r="O102" s="39"/>
      <c r="P102" s="39"/>
      <c r="Q102" s="39"/>
      <c r="R102" s="39"/>
    </row>
    <row r="103" spans="2:18">
      <c r="C103" s="256" t="s">
        <v>44</v>
      </c>
      <c r="D103" t="s">
        <v>150</v>
      </c>
      <c r="E103" s="53">
        <f>_xlfn.CEILING.MATH(I103/M103)</f>
        <v>14</v>
      </c>
      <c r="F103" s="128">
        <v>12</v>
      </c>
      <c r="G103" t="s">
        <v>128</v>
      </c>
      <c r="H103" s="128">
        <v>72</v>
      </c>
      <c r="I103" s="53">
        <f>_xlfn.CEILING.MATH(O103*I$8)</f>
        <v>168</v>
      </c>
      <c r="J103" t="s">
        <v>128</v>
      </c>
      <c r="K103" s="53">
        <f>H103*E103</f>
        <v>1008</v>
      </c>
      <c r="L103" t="s">
        <v>151</v>
      </c>
      <c r="M103" s="252">
        <v>12</v>
      </c>
      <c r="N103" s="252" t="s">
        <v>114</v>
      </c>
      <c r="O103" s="17">
        <v>0.67</v>
      </c>
      <c r="P103" t="s">
        <v>152</v>
      </c>
      <c r="Q103">
        <v>5</v>
      </c>
      <c r="R103" t="s">
        <v>132</v>
      </c>
    </row>
    <row r="104" spans="2:18">
      <c r="C104" s="256" t="s">
        <v>44</v>
      </c>
      <c r="D104" t="s">
        <v>153</v>
      </c>
      <c r="E104" s="53">
        <f>_xlfn.CEILING.MATH(I104/M104)</f>
        <v>11</v>
      </c>
      <c r="F104">
        <v>8</v>
      </c>
      <c r="G104" t="s">
        <v>128</v>
      </c>
      <c r="H104" s="128">
        <f>I104/E104*Q104</f>
        <v>45.272727272727273</v>
      </c>
      <c r="I104" s="53">
        <f>_xlfn.CEILING.MATH(O104*I$8)</f>
        <v>83</v>
      </c>
      <c r="J104" t="s">
        <v>128</v>
      </c>
      <c r="K104" s="53">
        <f>H104*E104</f>
        <v>498</v>
      </c>
      <c r="L104" t="s">
        <v>154</v>
      </c>
      <c r="M104" s="252">
        <v>8</v>
      </c>
      <c r="N104" s="252" t="s">
        <v>114</v>
      </c>
      <c r="O104" s="17">
        <f>1-O103</f>
        <v>0.32999999999999996</v>
      </c>
      <c r="P104" t="s">
        <v>152</v>
      </c>
      <c r="Q104">
        <v>6</v>
      </c>
      <c r="R104" t="s">
        <v>132</v>
      </c>
    </row>
    <row r="105" spans="2:18">
      <c r="C105" s="256" t="s">
        <v>44</v>
      </c>
      <c r="D105" t="s">
        <v>155</v>
      </c>
      <c r="E105" s="53">
        <f>I8/M105</f>
        <v>50</v>
      </c>
      <c r="F105">
        <v>2</v>
      </c>
      <c r="G105" t="s">
        <v>54</v>
      </c>
      <c r="H105">
        <v>5</v>
      </c>
      <c r="I105" s="39">
        <f>E105*F105</f>
        <v>100</v>
      </c>
      <c r="J105" t="s">
        <v>54</v>
      </c>
      <c r="K105" s="53">
        <f>H105*E105</f>
        <v>250</v>
      </c>
      <c r="L105" t="s">
        <v>156</v>
      </c>
      <c r="M105">
        <v>5</v>
      </c>
      <c r="N105" s="252" t="s">
        <v>114</v>
      </c>
    </row>
    <row r="106" spans="2:18">
      <c r="B106" s="39" t="s">
        <v>157</v>
      </c>
      <c r="C106" s="250"/>
      <c r="D106" s="39"/>
      <c r="G106" s="39"/>
      <c r="H106"/>
      <c r="I106" s="53">
        <f>I9</f>
        <v>12.5</v>
      </c>
      <c r="J106" s="39" t="s">
        <v>128</v>
      </c>
      <c r="L106" s="39"/>
      <c r="M106" s="39"/>
      <c r="N106" s="252"/>
      <c r="O106" s="39"/>
      <c r="P106" s="39"/>
      <c r="Q106" s="39"/>
      <c r="R106" s="39"/>
    </row>
    <row r="107" spans="2:18">
      <c r="C107" s="256" t="s">
        <v>44</v>
      </c>
      <c r="D107" t="s">
        <v>150</v>
      </c>
      <c r="E107" s="53">
        <v>1</v>
      </c>
      <c r="F107">
        <f>I107/E107</f>
        <v>7</v>
      </c>
      <c r="G107" t="s">
        <v>128</v>
      </c>
      <c r="H107" s="128">
        <f>Q107*I107</f>
        <v>35</v>
      </c>
      <c r="I107" s="53">
        <f>_xlfn.CEILING.MATH(O107*I$9)</f>
        <v>7</v>
      </c>
      <c r="J107" t="s">
        <v>128</v>
      </c>
      <c r="K107" s="53">
        <f>H107*E107</f>
        <v>35</v>
      </c>
      <c r="L107" t="s">
        <v>158</v>
      </c>
      <c r="M107" s="252">
        <v>12</v>
      </c>
      <c r="N107" s="252" t="s">
        <v>114</v>
      </c>
      <c r="O107" s="17">
        <v>0.5</v>
      </c>
      <c r="P107" t="s">
        <v>152</v>
      </c>
      <c r="Q107">
        <v>5</v>
      </c>
      <c r="R107" t="s">
        <v>132</v>
      </c>
    </row>
    <row r="108" spans="2:18">
      <c r="C108" s="256" t="s">
        <v>44</v>
      </c>
      <c r="D108" t="s">
        <v>153</v>
      </c>
      <c r="E108" s="53">
        <f>_xlfn.CEILING.MATH(I108/M108)</f>
        <v>1</v>
      </c>
      <c r="F108" s="128">
        <f>I108/E108</f>
        <v>7</v>
      </c>
      <c r="G108" t="s">
        <v>128</v>
      </c>
      <c r="H108">
        <f>I108/E108*Q108</f>
        <v>42</v>
      </c>
      <c r="I108" s="53">
        <f>_xlfn.CEILING.MATH(O108*I$9)</f>
        <v>7</v>
      </c>
      <c r="J108" t="s">
        <v>128</v>
      </c>
      <c r="K108" s="53">
        <f>H108*E108</f>
        <v>42</v>
      </c>
      <c r="L108" t="s">
        <v>159</v>
      </c>
      <c r="M108" s="252">
        <v>8</v>
      </c>
      <c r="N108" s="252" t="s">
        <v>114</v>
      </c>
      <c r="O108" s="17">
        <f>1-O107</f>
        <v>0.5</v>
      </c>
      <c r="P108" t="s">
        <v>152</v>
      </c>
      <c r="Q108">
        <v>6</v>
      </c>
      <c r="R108" t="s">
        <v>132</v>
      </c>
    </row>
    <row r="109" spans="2:18">
      <c r="C109" s="256" t="s">
        <v>44</v>
      </c>
      <c r="D109" t="s">
        <v>155</v>
      </c>
      <c r="E109" s="53">
        <f>I9/M109</f>
        <v>2.5</v>
      </c>
      <c r="F109">
        <v>2</v>
      </c>
      <c r="G109" t="s">
        <v>54</v>
      </c>
      <c r="H109">
        <v>5</v>
      </c>
      <c r="I109" s="53">
        <f>F109*E109</f>
        <v>5</v>
      </c>
      <c r="J109" t="s">
        <v>54</v>
      </c>
      <c r="K109" s="53">
        <f>H109*E109</f>
        <v>12.5</v>
      </c>
      <c r="L109" t="s">
        <v>156</v>
      </c>
      <c r="M109">
        <v>5</v>
      </c>
      <c r="N109" s="252" t="s">
        <v>114</v>
      </c>
    </row>
    <row r="110" spans="2:18">
      <c r="B110" s="39" t="s">
        <v>160</v>
      </c>
      <c r="C110" s="250"/>
      <c r="D110" s="39"/>
      <c r="F110" s="39"/>
      <c r="G110" s="39"/>
      <c r="H110"/>
      <c r="J110" s="39"/>
      <c r="L110" s="39"/>
      <c r="M110" s="39"/>
      <c r="N110" s="252"/>
      <c r="O110" s="39"/>
      <c r="P110" s="39"/>
      <c r="Q110" s="39"/>
      <c r="R110" s="39"/>
    </row>
    <row r="111" spans="2:18">
      <c r="C111" s="256" t="s">
        <v>161</v>
      </c>
      <c r="D111" t="s">
        <v>162</v>
      </c>
      <c r="E111" s="39">
        <f>_xlfn.CEILING.MATH(I$8/M111)</f>
        <v>3</v>
      </c>
      <c r="H111">
        <v>20</v>
      </c>
      <c r="K111" s="39">
        <f>E111*H111</f>
        <v>60</v>
      </c>
      <c r="L111" t="s">
        <v>163</v>
      </c>
      <c r="M111">
        <v>100</v>
      </c>
      <c r="N111" s="252" t="s">
        <v>114</v>
      </c>
    </row>
    <row r="112" spans="2:18">
      <c r="C112" s="245">
        <v>52</v>
      </c>
      <c r="D112" t="s">
        <v>164</v>
      </c>
      <c r="E112" s="39">
        <f>_xlfn.CEILING.MATH(I$8/M112)</f>
        <v>3</v>
      </c>
      <c r="H112">
        <v>10</v>
      </c>
      <c r="K112" s="39">
        <f>E112*H112</f>
        <v>30</v>
      </c>
      <c r="L112" t="s">
        <v>165</v>
      </c>
      <c r="M112">
        <v>100</v>
      </c>
      <c r="N112" s="252" t="s">
        <v>114</v>
      </c>
    </row>
    <row r="113" spans="1:19">
      <c r="H113"/>
      <c r="N113" s="252"/>
    </row>
    <row r="114" spans="1:19">
      <c r="A114" s="39" t="s">
        <v>97</v>
      </c>
      <c r="B114" s="39"/>
      <c r="C114" s="250"/>
      <c r="D114" s="39"/>
      <c r="F114" s="39"/>
      <c r="G114" s="39"/>
      <c r="H114"/>
      <c r="J114" s="39"/>
      <c r="K114" s="53">
        <f>SUM(K90:K112)</f>
        <v>2792</v>
      </c>
      <c r="N114"/>
      <c r="O114" s="39"/>
      <c r="P114" s="39"/>
      <c r="Q114" s="39"/>
      <c r="R114" s="39"/>
    </row>
    <row r="115" spans="1:19">
      <c r="H115"/>
      <c r="N115"/>
    </row>
    <row r="116" spans="1:19">
      <c r="A116" s="39" t="s">
        <v>98</v>
      </c>
      <c r="N116"/>
    </row>
    <row r="117" spans="1:19">
      <c r="B117" t="s">
        <v>99</v>
      </c>
      <c r="E117" s="17">
        <v>0.2</v>
      </c>
      <c r="H117"/>
      <c r="I117"/>
      <c r="K117" s="128">
        <f>E117*K$114</f>
        <v>558.4</v>
      </c>
      <c r="N117"/>
    </row>
    <row r="118" spans="1:19">
      <c r="B118" t="s">
        <v>100</v>
      </c>
      <c r="E118" s="17">
        <v>0.05</v>
      </c>
      <c r="H118"/>
      <c r="I118"/>
      <c r="K118" s="128">
        <f>E118*K$114</f>
        <v>139.6</v>
      </c>
      <c r="N118"/>
    </row>
    <row r="119" spans="1:19">
      <c r="A119" s="39" t="s">
        <v>101</v>
      </c>
      <c r="H119"/>
      <c r="N119"/>
    </row>
    <row r="120" spans="1:19">
      <c r="B120" t="s">
        <v>14</v>
      </c>
      <c r="H120"/>
      <c r="K120" s="53">
        <f>K118+K117+K114</f>
        <v>3490</v>
      </c>
      <c r="N120"/>
    </row>
    <row r="121" spans="1:19">
      <c r="B121" t="s">
        <v>133</v>
      </c>
      <c r="H121"/>
      <c r="K121" s="261">
        <f>K120/H7</f>
        <v>6.98</v>
      </c>
      <c r="N121"/>
    </row>
    <row r="122" spans="1:19">
      <c r="B122" t="s">
        <v>134</v>
      </c>
      <c r="H122"/>
      <c r="K122" s="261">
        <f>K120/I10</f>
        <v>13.295238095238096</v>
      </c>
      <c r="N122"/>
    </row>
    <row r="125" spans="1:19">
      <c r="H125"/>
    </row>
    <row r="126" spans="1:19">
      <c r="A126" s="266" t="s">
        <v>166</v>
      </c>
      <c r="B126" s="267"/>
      <c r="C126" s="268"/>
      <c r="D126" s="267"/>
      <c r="E126" s="266"/>
      <c r="F126" s="267"/>
      <c r="G126" s="267"/>
      <c r="H126" s="267"/>
      <c r="I126" s="266"/>
      <c r="J126" s="267"/>
      <c r="K126" s="266"/>
      <c r="L126" s="267"/>
      <c r="M126" s="267"/>
      <c r="N126" s="266"/>
      <c r="O126" s="267"/>
      <c r="P126" s="267"/>
      <c r="Q126" s="267"/>
      <c r="R126" s="267"/>
      <c r="S126" s="267"/>
    </row>
    <row r="127" spans="1:19">
      <c r="A127" s="267"/>
      <c r="B127" s="267" t="s">
        <v>14</v>
      </c>
      <c r="C127" s="268"/>
      <c r="D127" s="267"/>
      <c r="E127" s="266"/>
      <c r="F127" s="267"/>
      <c r="G127" s="267"/>
      <c r="H127" s="267"/>
      <c r="I127" s="266"/>
      <c r="J127" s="267"/>
      <c r="K127" s="269">
        <f>K120+K85</f>
        <v>4515.1000000000004</v>
      </c>
      <c r="L127" s="267"/>
      <c r="M127" s="267"/>
      <c r="N127" s="266"/>
      <c r="O127" s="267"/>
      <c r="P127" s="267"/>
      <c r="Q127" s="267"/>
      <c r="R127" s="267"/>
      <c r="S127" s="267"/>
    </row>
    <row r="128" spans="1:19">
      <c r="A128" s="267"/>
      <c r="B128" s="267" t="s">
        <v>133</v>
      </c>
      <c r="C128" s="268"/>
      <c r="D128" s="267"/>
      <c r="E128" s="266"/>
      <c r="F128" s="267"/>
      <c r="G128" s="267"/>
      <c r="H128" s="267"/>
      <c r="I128" s="266"/>
      <c r="J128" s="267"/>
      <c r="K128" s="270">
        <f>K127/H7</f>
        <v>9.0302000000000007</v>
      </c>
      <c r="L128" s="267"/>
      <c r="M128" s="267"/>
      <c r="N128" s="266"/>
      <c r="O128" s="267"/>
      <c r="P128" s="267"/>
      <c r="Q128" s="267"/>
      <c r="R128" s="267"/>
      <c r="S128" s="267"/>
    </row>
    <row r="129" spans="1:19">
      <c r="A129" s="267"/>
      <c r="B129" s="267" t="s">
        <v>134</v>
      </c>
      <c r="C129" s="268"/>
      <c r="D129" s="267"/>
      <c r="E129" s="266"/>
      <c r="F129" s="267"/>
      <c r="G129" s="267"/>
      <c r="H129" s="267"/>
      <c r="I129" s="266"/>
      <c r="J129" s="267"/>
      <c r="K129" s="270">
        <f>K127/I8</f>
        <v>18.060400000000001</v>
      </c>
      <c r="L129" s="267"/>
      <c r="M129" s="267"/>
      <c r="N129" s="266"/>
      <c r="O129" s="267"/>
      <c r="P129" s="267"/>
      <c r="Q129" s="267"/>
      <c r="R129" s="267"/>
      <c r="S129" s="267"/>
    </row>
    <row r="131" spans="1:19">
      <c r="A131" s="266" t="s">
        <v>167</v>
      </c>
      <c r="B131" s="267"/>
      <c r="C131" s="268"/>
      <c r="D131" s="267"/>
      <c r="E131" s="266"/>
      <c r="F131" s="267"/>
      <c r="G131" s="267"/>
      <c r="H131" s="267"/>
      <c r="I131" s="266"/>
      <c r="J131" s="267"/>
      <c r="K131" s="266"/>
      <c r="L131" s="267"/>
      <c r="M131" s="267"/>
      <c r="N131" s="266"/>
      <c r="O131" s="267"/>
      <c r="P131" s="267"/>
      <c r="Q131" s="267"/>
      <c r="R131" s="267"/>
      <c r="S131" s="267"/>
    </row>
    <row r="132" spans="1:19">
      <c r="A132" s="267"/>
      <c r="B132" s="267" t="s">
        <v>14</v>
      </c>
      <c r="C132" s="268"/>
      <c r="D132" s="267"/>
      <c r="E132" s="266"/>
      <c r="F132" s="267"/>
      <c r="G132" s="267"/>
      <c r="H132" s="267"/>
      <c r="I132" s="266"/>
      <c r="J132" s="267"/>
      <c r="K132" s="269">
        <f>K120+K85+K60</f>
        <v>5425.2714408811144</v>
      </c>
      <c r="L132" s="267"/>
      <c r="M132" s="267"/>
      <c r="N132" s="266"/>
      <c r="O132" s="267"/>
      <c r="P132" s="267"/>
      <c r="Q132" s="267"/>
      <c r="R132" s="267"/>
      <c r="S132" s="267"/>
    </row>
    <row r="133" spans="1:19">
      <c r="A133" s="267"/>
      <c r="B133" s="267" t="s">
        <v>133</v>
      </c>
      <c r="C133" s="268"/>
      <c r="D133" s="267"/>
      <c r="E133" s="266"/>
      <c r="F133" s="267"/>
      <c r="G133" s="267"/>
      <c r="H133" s="267"/>
      <c r="I133" s="266"/>
      <c r="J133" s="267"/>
      <c r="K133" s="270">
        <f>K132/H7</f>
        <v>10.850542881762228</v>
      </c>
      <c r="L133" s="267"/>
      <c r="M133" s="267"/>
      <c r="N133" s="266"/>
      <c r="O133" s="267"/>
      <c r="P133" s="267"/>
      <c r="Q133" s="267"/>
      <c r="R133" s="267"/>
      <c r="S133" s="267"/>
    </row>
    <row r="134" spans="1:19">
      <c r="A134" s="267"/>
      <c r="B134" s="267" t="s">
        <v>134</v>
      </c>
      <c r="C134" s="268"/>
      <c r="D134" s="267"/>
      <c r="E134" s="266"/>
      <c r="F134" s="267"/>
      <c r="G134" s="267"/>
      <c r="H134" s="267"/>
      <c r="I134" s="266"/>
      <c r="J134" s="267"/>
      <c r="K134" s="270">
        <f>K132/I8</f>
        <v>21.701085763524457</v>
      </c>
      <c r="L134" s="267"/>
      <c r="M134" s="267"/>
      <c r="N134" s="266"/>
      <c r="O134" s="267"/>
      <c r="P134" s="267"/>
      <c r="Q134" s="267"/>
      <c r="R134" s="267"/>
      <c r="S134" s="267"/>
    </row>
    <row r="135" spans="1:19" s="39" customFormat="1">
      <c r="A135" s="39" t="s">
        <v>168</v>
      </c>
      <c r="C135" s="250"/>
      <c r="H135" s="272" t="s">
        <v>169</v>
      </c>
      <c r="K135" s="272" t="s">
        <v>170</v>
      </c>
    </row>
    <row r="136" spans="1:19">
      <c r="A136" t="s">
        <v>171</v>
      </c>
      <c r="H136" s="271">
        <f>K136/K$139</f>
        <v>0.16776514332954631</v>
      </c>
      <c r="K136" s="128">
        <f>K60</f>
        <v>910.17144088111434</v>
      </c>
    </row>
    <row r="137" spans="1:19">
      <c r="A137" t="s">
        <v>172</v>
      </c>
      <c r="H137" s="271">
        <f>K137/K$139</f>
        <v>0.18894907124380014</v>
      </c>
      <c r="K137" s="128">
        <f>K85</f>
        <v>1025.0999999999999</v>
      </c>
    </row>
    <row r="138" spans="1:19">
      <c r="A138" t="s">
        <v>173</v>
      </c>
      <c r="H138" s="271">
        <f>K138/K$139</f>
        <v>0.64328578542665349</v>
      </c>
      <c r="K138" s="128">
        <f>K120</f>
        <v>3490</v>
      </c>
    </row>
    <row r="139" spans="1:19" s="39" customFormat="1">
      <c r="A139" s="39" t="s">
        <v>174</v>
      </c>
      <c r="C139" s="250"/>
      <c r="K139" s="53">
        <f>SUM(K136:K138)</f>
        <v>5425.2714408811144</v>
      </c>
    </row>
    <row r="141" spans="1:19" s="39" customFormat="1">
      <c r="A141" s="39" t="s">
        <v>175</v>
      </c>
      <c r="C141" s="250"/>
      <c r="I141" s="39" t="s">
        <v>176</v>
      </c>
    </row>
    <row r="142" spans="1:19">
      <c r="A142" t="s">
        <v>149</v>
      </c>
      <c r="I142" s="128">
        <f>SUM(I103:I104)+SUM(I107:I108)+I77</f>
        <v>277.5</v>
      </c>
    </row>
    <row r="143" spans="1:19">
      <c r="A143" t="s">
        <v>56</v>
      </c>
      <c r="I143" s="128">
        <f>I109+I105</f>
        <v>105</v>
      </c>
    </row>
    <row r="144" spans="1:19">
      <c r="A144" t="s">
        <v>177</v>
      </c>
      <c r="I144">
        <f>SUM(I99:I101)</f>
        <v>198</v>
      </c>
    </row>
    <row r="145" spans="1:9">
      <c r="A145" t="s">
        <v>178</v>
      </c>
      <c r="I145" s="286">
        <f>I92</f>
        <v>83.333333333333329</v>
      </c>
    </row>
    <row r="146" spans="1:9">
      <c r="A146" t="s">
        <v>179</v>
      </c>
      <c r="I146">
        <f>SUM(I70:I73)</f>
        <v>198</v>
      </c>
    </row>
    <row r="147" spans="1:9" s="39" customFormat="1">
      <c r="A147" s="39" t="s">
        <v>14</v>
      </c>
      <c r="C147" s="250"/>
      <c r="I147" s="53">
        <f>SUM(I142:I146)</f>
        <v>861.83333333333337</v>
      </c>
    </row>
  </sheetData>
  <mergeCells count="2">
    <mergeCell ref="C6:D6"/>
    <mergeCell ref="A6:B6"/>
  </mergeCells>
  <printOptions gridLines="1"/>
  <pageMargins left="0.7" right="0.7" top="0.75" bottom="0.75" header="0.3" footer="0.3"/>
  <pageSetup paperSize="9" scale="40" fitToHeight="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6"/>
  <sheetViews>
    <sheetView workbookViewId="0">
      <selection activeCell="M17" sqref="M17:S29"/>
    </sheetView>
  </sheetViews>
  <sheetFormatPr defaultColWidth="11" defaultRowHeight="15.5" outlineLevelRow="1"/>
  <cols>
    <col min="1" max="1" width="23.33203125" customWidth="1"/>
    <col min="2" max="2" width="27.83203125" bestFit="1" customWidth="1"/>
    <col min="3" max="3" width="19" customWidth="1"/>
    <col min="4" max="4" width="16.58203125" customWidth="1"/>
    <col min="5" max="5" width="13.33203125" customWidth="1"/>
    <col min="11" max="11" width="17.58203125" customWidth="1"/>
    <col min="12" max="12" width="15.33203125" customWidth="1"/>
    <col min="13" max="13" width="17.33203125" customWidth="1"/>
    <col min="15" max="15" width="15" customWidth="1"/>
    <col min="16" max="16" width="18.83203125" customWidth="1"/>
    <col min="17" max="17" width="33.08203125" customWidth="1"/>
    <col min="22" max="22" width="11" style="41"/>
  </cols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>
      <c r="A2" s="1" t="s">
        <v>180</v>
      </c>
      <c r="B2" s="1"/>
      <c r="C2" s="1"/>
      <c r="D2" s="1"/>
      <c r="E2" s="1"/>
      <c r="F2" s="1"/>
      <c r="G2" s="1"/>
      <c r="H2" s="1"/>
      <c r="I2" s="1"/>
      <c r="J2" s="1"/>
      <c r="K2" s="1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2">
      <c r="A4" s="1" t="s">
        <v>181</v>
      </c>
      <c r="B4" s="1"/>
      <c r="C4" s="1"/>
      <c r="D4" s="1"/>
      <c r="E4" s="1"/>
      <c r="F4" s="1"/>
      <c r="G4" s="1"/>
      <c r="H4" s="1"/>
      <c r="I4" s="1"/>
      <c r="J4" s="1"/>
      <c r="K4" s="1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3"/>
    </row>
    <row r="5" spans="1:22">
      <c r="A5" s="2" t="s">
        <v>182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</row>
    <row r="6" spans="1:22">
      <c r="A6" s="2"/>
      <c r="B6" s="2"/>
      <c r="C6" s="2"/>
      <c r="D6" s="2"/>
      <c r="E6" s="2"/>
      <c r="F6" s="2"/>
      <c r="G6" s="2" t="s">
        <v>183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</row>
    <row r="7" spans="1:22">
      <c r="A7" s="2"/>
      <c r="B7" s="4" t="s">
        <v>31</v>
      </c>
      <c r="C7" s="5" t="s">
        <v>184</v>
      </c>
      <c r="D7" s="5" t="s">
        <v>185</v>
      </c>
      <c r="E7" s="5" t="s">
        <v>186</v>
      </c>
      <c r="F7" s="2"/>
      <c r="G7" s="2" t="s">
        <v>187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</row>
    <row r="8" spans="1:22">
      <c r="A8" s="2"/>
      <c r="B8" s="6" t="s">
        <v>188</v>
      </c>
      <c r="C8" s="7">
        <f>CEILING((D43*C55+C72*D43+C81*D44+D45*F81)/C69,1)</f>
        <v>6</v>
      </c>
      <c r="D8" s="2">
        <v>5.5</v>
      </c>
      <c r="E8" s="7">
        <f>C8*D8</f>
        <v>33</v>
      </c>
      <c r="F8" s="2"/>
      <c r="G8" s="7">
        <f>AVERAGE(J43:P45)</f>
        <v>45.152731886405341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</row>
    <row r="9" spans="1:22">
      <c r="A9" s="2"/>
      <c r="B9" s="6" t="s">
        <v>189</v>
      </c>
      <c r="C9" s="7">
        <f>CEILING((D129*C56+D129*C73+D50*C82+F50*F82)/C69,1)</f>
        <v>2</v>
      </c>
      <c r="D9" s="2">
        <v>15</v>
      </c>
      <c r="E9" s="7">
        <f>C9*D9</f>
        <v>30</v>
      </c>
      <c r="F9" s="2"/>
      <c r="G9" s="2" t="s">
        <v>190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</row>
    <row r="10" spans="1:22">
      <c r="A10" s="2"/>
      <c r="B10" s="6" t="s">
        <v>191</v>
      </c>
      <c r="C10" s="7">
        <f>CEILING((E130*C57+E130*C74+D51*C83+F51*F83)/C69,1)</f>
        <v>1</v>
      </c>
      <c r="D10" s="2">
        <v>8.5</v>
      </c>
      <c r="E10" s="7">
        <f>C10*D10</f>
        <v>8.5</v>
      </c>
      <c r="F10" s="2"/>
      <c r="G10" s="216">
        <f>G8/C14</f>
        <v>1.8813638286002226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</row>
    <row r="11" spans="1:22">
      <c r="A11" s="2"/>
      <c r="B11" s="6" t="s">
        <v>141</v>
      </c>
      <c r="C11" s="7">
        <f>CEILING((F131*C58+F131*C75+D52*C84+F52*F84)/C69,1)</f>
        <v>14</v>
      </c>
      <c r="D11" s="2">
        <v>7</v>
      </c>
      <c r="E11" s="7">
        <f>C11*D11</f>
        <v>98</v>
      </c>
      <c r="F11" s="2"/>
      <c r="G11" s="2" t="s">
        <v>192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</row>
    <row r="12" spans="1:22">
      <c r="A12" s="2"/>
      <c r="B12" s="6" t="s">
        <v>193</v>
      </c>
      <c r="C12" s="7">
        <f>CEILING(G132*C59/C69,1)</f>
        <v>1</v>
      </c>
      <c r="D12" s="2">
        <v>2.4</v>
      </c>
      <c r="E12" s="7">
        <f>C12*D12</f>
        <v>2.4</v>
      </c>
      <c r="F12" s="2"/>
      <c r="G12" s="7">
        <f>G8-C14</f>
        <v>21.152731886405341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</row>
    <row r="13" spans="1:22" ht="17.149999999999999" customHeight="1">
      <c r="A13" s="2"/>
      <c r="B13" s="6" t="s">
        <v>194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</row>
    <row r="14" spans="1:22" ht="17.149999999999999" customHeight="1">
      <c r="A14" s="2"/>
      <c r="B14" s="6" t="s">
        <v>14</v>
      </c>
      <c r="C14" s="7">
        <f>SUM(C8:C12)</f>
        <v>24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</row>
    <row r="15" spans="1:22" ht="17.149999999999999" customHeight="1">
      <c r="A15" s="1" t="s">
        <v>195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3"/>
    </row>
    <row r="16" spans="1:22" ht="17.149999999999999" customHeight="1" outlineLevel="1">
      <c r="A16" s="10" t="s">
        <v>196</v>
      </c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</row>
    <row r="17" spans="1:22" ht="85" customHeight="1" outlineLevel="1">
      <c r="A17" s="291" t="s">
        <v>197</v>
      </c>
      <c r="B17" s="6"/>
      <c r="C17" s="287" t="s">
        <v>198</v>
      </c>
      <c r="D17" s="304" t="s">
        <v>199</v>
      </c>
      <c r="E17" s="304"/>
      <c r="F17" s="2"/>
      <c r="G17" s="2"/>
      <c r="H17" s="5" t="s">
        <v>200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</row>
    <row r="18" spans="1:22" ht="17.149999999999999" customHeight="1" outlineLevel="1">
      <c r="A18" s="2"/>
      <c r="B18" s="8" t="s">
        <v>6</v>
      </c>
      <c r="C18" s="234" t="str">
        <f>Tilaohjelma!B7</f>
        <v>x</v>
      </c>
      <c r="D18" s="19">
        <f>Tilaohjelma!C7</f>
        <v>10</v>
      </c>
      <c r="E18" s="2"/>
      <c r="F18" s="2"/>
      <c r="G18" s="2"/>
      <c r="H18" s="8" t="s">
        <v>6</v>
      </c>
      <c r="I18" s="7">
        <f t="shared" ref="I18:I29" si="0">F399</f>
        <v>168.75</v>
      </c>
      <c r="J18" s="2"/>
      <c r="K18" s="2"/>
      <c r="L18" s="2"/>
      <c r="M18" s="143"/>
      <c r="N18" s="2"/>
      <c r="O18" s="2"/>
      <c r="P18" s="143"/>
      <c r="Q18" s="2"/>
      <c r="R18" s="2"/>
      <c r="S18" s="2"/>
      <c r="T18" s="2"/>
      <c r="U18" s="2"/>
      <c r="V18" s="3"/>
    </row>
    <row r="19" spans="1:22" ht="17.149999999999999" customHeight="1" outlineLevel="1">
      <c r="A19" s="2"/>
      <c r="B19" s="8" t="s">
        <v>9</v>
      </c>
      <c r="C19" s="234" t="str">
        <f>Tilaohjelma!B8</f>
        <v>x</v>
      </c>
      <c r="D19" s="19">
        <f>Tilaohjelma!C8</f>
        <v>125</v>
      </c>
      <c r="E19" s="2"/>
      <c r="F19" s="2"/>
      <c r="G19" s="2"/>
      <c r="H19" s="8" t="s">
        <v>9</v>
      </c>
      <c r="I19" s="7">
        <f t="shared" si="0"/>
        <v>1666.6666666666667</v>
      </c>
      <c r="J19" s="2"/>
      <c r="K19" s="2"/>
      <c r="L19" s="2"/>
      <c r="M19" s="143"/>
      <c r="N19" s="2"/>
      <c r="O19" s="2"/>
      <c r="P19" s="143"/>
      <c r="Q19" s="2"/>
      <c r="R19" s="2"/>
      <c r="S19" s="2"/>
      <c r="T19" s="2"/>
      <c r="U19" s="2"/>
      <c r="V19" s="3"/>
    </row>
    <row r="20" spans="1:22" ht="17.149999999999999" customHeight="1" outlineLevel="1">
      <c r="A20" s="2"/>
      <c r="B20" s="8" t="s">
        <v>11</v>
      </c>
      <c r="C20" s="234" t="str">
        <f>Tilaohjelma!B9</f>
        <v>x</v>
      </c>
      <c r="D20" s="19">
        <f>Tilaohjelma!C9</f>
        <v>10</v>
      </c>
      <c r="E20" s="2"/>
      <c r="F20" s="2"/>
      <c r="G20" s="2"/>
      <c r="H20" s="8" t="s">
        <v>11</v>
      </c>
      <c r="I20" s="7">
        <f t="shared" si="0"/>
        <v>208.33333333333334</v>
      </c>
      <c r="J20" s="2"/>
      <c r="K20" s="2"/>
      <c r="L20" s="2"/>
      <c r="M20" s="143"/>
      <c r="N20" s="2"/>
      <c r="O20" s="2"/>
      <c r="P20" s="143"/>
      <c r="Q20" s="2"/>
      <c r="R20" s="2"/>
      <c r="S20" s="2"/>
      <c r="T20" s="2"/>
      <c r="U20" s="2"/>
      <c r="V20" s="3"/>
    </row>
    <row r="21" spans="1:22" ht="17.149999999999999" customHeight="1" outlineLevel="1">
      <c r="A21" s="2"/>
      <c r="B21" s="8" t="s">
        <v>13</v>
      </c>
      <c r="C21" s="234" t="str">
        <f>Tilaohjelma!B10</f>
        <v>x</v>
      </c>
      <c r="D21" s="19">
        <f>Tilaohjelma!C10</f>
        <v>130</v>
      </c>
      <c r="E21" s="2"/>
      <c r="F21" s="2"/>
      <c r="G21" s="2"/>
      <c r="H21" s="8" t="s">
        <v>13</v>
      </c>
      <c r="I21" s="7">
        <f t="shared" si="0"/>
        <v>16500</v>
      </c>
      <c r="J21" s="2"/>
      <c r="K21" s="2"/>
      <c r="L21" s="2"/>
      <c r="M21" s="143"/>
      <c r="N21" s="2"/>
      <c r="O21" s="2"/>
      <c r="P21" s="143"/>
      <c r="Q21" s="2"/>
      <c r="R21" s="2"/>
      <c r="S21" s="2"/>
      <c r="T21" s="2"/>
      <c r="U21" s="2"/>
      <c r="V21" s="3"/>
    </row>
    <row r="22" spans="1:22" ht="17.149999999999999" customHeight="1" outlineLevel="1">
      <c r="A22" s="2"/>
      <c r="B22" s="8" t="s">
        <v>15</v>
      </c>
      <c r="C22" s="234">
        <f>Tilaohjelma!B11</f>
        <v>0</v>
      </c>
      <c r="D22" s="19">
        <f>Tilaohjelma!C11</f>
        <v>0</v>
      </c>
      <c r="E22" s="2"/>
      <c r="F22" s="2"/>
      <c r="G22" s="2"/>
      <c r="H22" s="8" t="s">
        <v>15</v>
      </c>
      <c r="I22" s="7">
        <f t="shared" si="0"/>
        <v>2083.3333333333335</v>
      </c>
      <c r="J22" s="2"/>
      <c r="K22" s="2"/>
      <c r="L22" s="2"/>
      <c r="M22" s="143"/>
      <c r="N22" s="2"/>
      <c r="O22" s="2"/>
      <c r="P22" s="143"/>
      <c r="Q22" s="2"/>
      <c r="R22" s="2"/>
      <c r="S22" s="2"/>
      <c r="T22" s="2"/>
      <c r="U22" s="2"/>
      <c r="V22" s="3"/>
    </row>
    <row r="23" spans="1:22" ht="17.149999999999999" customHeight="1" outlineLevel="1">
      <c r="A23" s="2"/>
      <c r="B23" s="8" t="s">
        <v>16</v>
      </c>
      <c r="C23" s="234" t="str">
        <f>Tilaohjelma!B12</f>
        <v>x</v>
      </c>
      <c r="D23" s="19">
        <f>Tilaohjelma!C12</f>
        <v>30</v>
      </c>
      <c r="E23" s="2"/>
      <c r="F23" s="2"/>
      <c r="G23" s="2"/>
      <c r="H23" s="8" t="s">
        <v>16</v>
      </c>
      <c r="I23" s="7">
        <f t="shared" si="0"/>
        <v>729.16666666666663</v>
      </c>
      <c r="J23" s="2"/>
      <c r="K23" s="2"/>
      <c r="L23" s="2"/>
      <c r="M23" s="143"/>
      <c r="N23" s="2"/>
      <c r="O23" s="2"/>
      <c r="P23" s="143"/>
      <c r="Q23" s="2"/>
      <c r="R23" s="2"/>
      <c r="S23" s="2"/>
      <c r="T23" s="2"/>
      <c r="U23" s="2"/>
      <c r="V23" s="3"/>
    </row>
    <row r="24" spans="1:22" ht="17.149999999999999" customHeight="1" outlineLevel="1">
      <c r="A24" s="2"/>
      <c r="B24" s="8" t="s">
        <v>17</v>
      </c>
      <c r="C24" s="234">
        <f>Tilaohjelma!B13</f>
        <v>0</v>
      </c>
      <c r="D24" s="19">
        <f>Tilaohjelma!C13</f>
        <v>0</v>
      </c>
      <c r="E24" s="2"/>
      <c r="F24" s="2"/>
      <c r="G24" s="2"/>
      <c r="H24" s="8" t="s">
        <v>17</v>
      </c>
      <c r="I24" s="7">
        <f t="shared" si="0"/>
        <v>1250</v>
      </c>
      <c r="J24" s="2"/>
      <c r="K24" s="2"/>
      <c r="L24" s="2"/>
      <c r="M24" s="143"/>
      <c r="N24" s="2"/>
      <c r="O24" s="2"/>
      <c r="P24" s="143"/>
      <c r="Q24" s="144"/>
      <c r="R24" s="144"/>
      <c r="S24" s="2"/>
      <c r="T24" s="2"/>
      <c r="U24" s="2"/>
      <c r="V24" s="3"/>
    </row>
    <row r="25" spans="1:22" ht="17.149999999999999" customHeight="1" outlineLevel="1">
      <c r="A25" s="2"/>
      <c r="B25" s="8" t="s">
        <v>18</v>
      </c>
      <c r="C25" s="234">
        <f>Tilaohjelma!B14</f>
        <v>0</v>
      </c>
      <c r="D25" s="19">
        <f>Tilaohjelma!C14</f>
        <v>0</v>
      </c>
      <c r="E25" s="2"/>
      <c r="F25" s="2"/>
      <c r="G25" s="2"/>
      <c r="H25" s="8" t="s">
        <v>18</v>
      </c>
      <c r="I25" s="7">
        <f t="shared" si="0"/>
        <v>12500</v>
      </c>
      <c r="J25" s="2"/>
      <c r="K25" s="2"/>
      <c r="L25" s="2"/>
      <c r="M25" s="143"/>
      <c r="N25" s="2"/>
      <c r="O25" s="2"/>
      <c r="P25" s="143"/>
      <c r="Q25" s="2"/>
      <c r="R25" s="2"/>
      <c r="S25" s="2"/>
      <c r="T25" s="2"/>
      <c r="U25" s="2"/>
      <c r="V25" s="3"/>
    </row>
    <row r="26" spans="1:22" ht="17.149999999999999" customHeight="1" outlineLevel="1">
      <c r="A26" s="2"/>
      <c r="B26" s="8" t="s">
        <v>19</v>
      </c>
      <c r="C26" s="234">
        <f>Tilaohjelma!B15</f>
        <v>0</v>
      </c>
      <c r="D26" s="19">
        <f>Tilaohjelma!C15</f>
        <v>0</v>
      </c>
      <c r="E26" s="2"/>
      <c r="F26" s="2"/>
      <c r="G26" s="2"/>
      <c r="H26" s="8" t="s">
        <v>19</v>
      </c>
      <c r="I26" s="7">
        <f t="shared" si="0"/>
        <v>833.33333333333337</v>
      </c>
      <c r="J26" s="2"/>
      <c r="K26" s="2"/>
      <c r="L26" s="2"/>
      <c r="M26" s="143"/>
      <c r="N26" s="2"/>
      <c r="O26" s="2"/>
      <c r="P26" s="143"/>
      <c r="Q26" s="2"/>
      <c r="R26" s="2"/>
      <c r="S26" s="2"/>
      <c r="T26" s="2"/>
      <c r="U26" s="2"/>
      <c r="V26" s="3"/>
    </row>
    <row r="27" spans="1:22" ht="17.149999999999999" customHeight="1" outlineLevel="1">
      <c r="A27" s="2"/>
      <c r="B27" s="8" t="s">
        <v>20</v>
      </c>
      <c r="C27" s="234" t="str">
        <f>Tilaohjelma!B16</f>
        <v>x</v>
      </c>
      <c r="D27" s="19">
        <f>Tilaohjelma!C16</f>
        <v>730</v>
      </c>
      <c r="E27" s="2"/>
      <c r="F27" s="2"/>
      <c r="G27" s="2"/>
      <c r="H27" s="8" t="s">
        <v>20</v>
      </c>
      <c r="I27" s="7">
        <f t="shared" si="0"/>
        <v>41666.666666666664</v>
      </c>
      <c r="J27" s="2"/>
      <c r="K27" s="2"/>
      <c r="L27" s="2"/>
      <c r="M27" s="143"/>
      <c r="N27" s="2"/>
      <c r="O27" s="2"/>
      <c r="P27" s="143"/>
      <c r="Q27" s="2"/>
      <c r="R27" s="2"/>
      <c r="S27" s="2"/>
      <c r="T27" s="2"/>
      <c r="U27" s="2"/>
      <c r="V27" s="3"/>
    </row>
    <row r="28" spans="1:22" ht="17.149999999999999" customHeight="1" outlineLevel="1">
      <c r="A28" s="2"/>
      <c r="B28" s="8" t="s">
        <v>21</v>
      </c>
      <c r="C28" s="234">
        <f>Tilaohjelma!B17</f>
        <v>0</v>
      </c>
      <c r="D28" s="19">
        <f>Tilaohjelma!C17</f>
        <v>0</v>
      </c>
      <c r="E28" s="2"/>
      <c r="F28" s="2"/>
      <c r="G28" s="2"/>
      <c r="H28" s="8" t="s">
        <v>21</v>
      </c>
      <c r="I28" s="7">
        <f t="shared" si="0"/>
        <v>416.66666666666669</v>
      </c>
      <c r="J28" s="2"/>
      <c r="K28" s="2"/>
      <c r="L28" s="2"/>
      <c r="M28" s="143"/>
      <c r="N28" s="2"/>
      <c r="O28" s="2"/>
      <c r="P28" s="143"/>
      <c r="Q28" s="2"/>
      <c r="R28" s="2"/>
      <c r="S28" s="2"/>
      <c r="T28" s="2"/>
      <c r="U28" s="2"/>
      <c r="V28" s="3"/>
    </row>
    <row r="29" spans="1:22" ht="17.149999999999999" customHeight="1" outlineLevel="1">
      <c r="A29" s="2"/>
      <c r="B29" s="8" t="s">
        <v>22</v>
      </c>
      <c r="C29" s="234" t="str">
        <f>Tilaohjelma!B18</f>
        <v>x</v>
      </c>
      <c r="D29" s="19">
        <f>Tilaohjelma!C18</f>
        <v>330</v>
      </c>
      <c r="E29" s="2"/>
      <c r="F29" s="2"/>
      <c r="G29" s="2"/>
      <c r="H29" s="8" t="s">
        <v>22</v>
      </c>
      <c r="I29" s="7">
        <f t="shared" si="0"/>
        <v>4166.666666666667</v>
      </c>
      <c r="J29" s="2"/>
      <c r="K29" s="2"/>
      <c r="L29" s="2"/>
      <c r="M29" s="143"/>
      <c r="N29" s="2"/>
      <c r="O29" s="2"/>
      <c r="P29" s="143"/>
      <c r="Q29" s="2"/>
      <c r="R29" s="2"/>
      <c r="S29" s="2"/>
      <c r="T29" s="2"/>
      <c r="U29" s="2"/>
      <c r="V29" s="3"/>
    </row>
    <row r="30" spans="1:22" ht="17.149999999999999" customHeight="1" outlineLevel="1">
      <c r="A30" s="2"/>
      <c r="B30" s="6"/>
      <c r="C30" s="2">
        <f>COUNTIF(C18:C29,"x")</f>
        <v>7</v>
      </c>
      <c r="D30" s="2">
        <f>SUM(D18:D29)</f>
        <v>1365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1:22" ht="17.149999999999999" customHeight="1" outlineLevel="1">
      <c r="A31" s="2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1:22" ht="17.149999999999999" customHeight="1" outlineLevel="1">
      <c r="A32" s="2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</row>
    <row r="33" spans="1:22" ht="17.149999999999999" customHeight="1" outlineLevel="1">
      <c r="A33" s="2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</row>
    <row r="34" spans="1:22" ht="17.149999999999999" customHeight="1" outlineLevel="1">
      <c r="A34" s="2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</row>
    <row r="35" spans="1:22" ht="17.149999999999999" customHeight="1" outlineLevel="1">
      <c r="A35" s="2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</row>
    <row r="36" spans="1:22" ht="17.149999999999999" customHeight="1" outlineLevel="1">
      <c r="A36" s="2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</row>
    <row r="37" spans="1:22" ht="17.149999999999999" customHeight="1" outlineLevel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</row>
    <row r="38" spans="1:22">
      <c r="A38" s="1" t="s">
        <v>201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14"/>
      <c r="M38" s="212"/>
      <c r="N38" s="212"/>
      <c r="O38" s="212"/>
      <c r="P38" s="212"/>
      <c r="Q38" s="212"/>
      <c r="R38" s="212"/>
      <c r="S38" s="212"/>
      <c r="T38" s="212"/>
      <c r="U38" s="212"/>
      <c r="V38" s="213"/>
    </row>
    <row r="39" spans="1:22" hidden="1" outlineLevel="1">
      <c r="A39" s="10" t="s">
        <v>202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</row>
    <row r="40" spans="1:22" hidden="1" outlineLevel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</row>
    <row r="41" spans="1:22" hidden="1" outlineLevel="1">
      <c r="A41" s="2"/>
      <c r="B41" s="11" t="s">
        <v>203</v>
      </c>
      <c r="C41" s="2"/>
      <c r="D41" s="2"/>
      <c r="E41" s="2"/>
      <c r="F41" s="2"/>
      <c r="G41" s="2"/>
      <c r="H41" s="5" t="s">
        <v>204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</row>
    <row r="42" spans="1:22" hidden="1" outlineLevel="1">
      <c r="A42" s="2"/>
      <c r="B42" s="5" t="s">
        <v>205</v>
      </c>
      <c r="C42" s="2"/>
      <c r="D42" s="12">
        <f>C128+D129+E130+F131+G132</f>
        <v>1365.0126100000002</v>
      </c>
      <c r="E42" s="2"/>
      <c r="F42" s="2"/>
      <c r="G42" s="2"/>
      <c r="H42" s="231"/>
      <c r="I42" s="233" t="s">
        <v>206</v>
      </c>
      <c r="J42" s="233" t="s">
        <v>207</v>
      </c>
      <c r="K42" s="233" t="s">
        <v>208</v>
      </c>
      <c r="L42" s="233" t="s">
        <v>209</v>
      </c>
      <c r="M42" s="233" t="s">
        <v>210</v>
      </c>
      <c r="N42" s="233" t="s">
        <v>211</v>
      </c>
      <c r="O42" s="233" t="s">
        <v>212</v>
      </c>
      <c r="P42" s="233" t="s">
        <v>213</v>
      </c>
      <c r="Q42" s="231" t="s">
        <v>14</v>
      </c>
      <c r="R42" s="2"/>
      <c r="S42" s="2"/>
      <c r="T42" s="2"/>
      <c r="U42" s="2"/>
      <c r="V42" s="3"/>
    </row>
    <row r="43" spans="1:22" hidden="1" outlineLevel="1">
      <c r="A43" s="2"/>
      <c r="B43" s="5" t="s">
        <v>214</v>
      </c>
      <c r="C43" s="5" t="s">
        <v>205</v>
      </c>
      <c r="D43" s="12">
        <f>C128</f>
        <v>352.8125</v>
      </c>
      <c r="E43" s="2"/>
      <c r="F43" s="2"/>
      <c r="G43" s="2"/>
      <c r="H43" s="231" t="s">
        <v>215</v>
      </c>
      <c r="I43" s="228">
        <f>C320</f>
        <v>0.51666666666666661</v>
      </c>
      <c r="J43" s="228">
        <f t="shared" ref="J43:Q48" si="1">D320</f>
        <v>50.849622071050632</v>
      </c>
      <c r="K43" s="228">
        <f t="shared" si="1"/>
        <v>42.599622071050632</v>
      </c>
      <c r="L43" s="228">
        <f t="shared" si="1"/>
        <v>42.599622071050632</v>
      </c>
      <c r="M43" s="228">
        <f t="shared" si="1"/>
        <v>43.987377173091453</v>
      </c>
      <c r="N43" s="228">
        <f t="shared" si="1"/>
        <v>47.987377173091453</v>
      </c>
      <c r="O43" s="228">
        <f t="shared" si="1"/>
        <v>48.599622071050639</v>
      </c>
      <c r="P43" s="228">
        <f t="shared" si="1"/>
        <v>39.85404383975812</v>
      </c>
      <c r="Q43" s="232">
        <f t="shared" si="1"/>
        <v>316.99395313681021</v>
      </c>
      <c r="R43" s="2"/>
      <c r="S43" s="2"/>
      <c r="T43" s="2"/>
      <c r="U43" s="2"/>
      <c r="V43" s="3"/>
    </row>
    <row r="44" spans="1:22" hidden="1" outlineLevel="1">
      <c r="A44" s="2"/>
      <c r="B44" s="2"/>
      <c r="C44" s="2" t="s">
        <v>216</v>
      </c>
      <c r="D44" s="7">
        <f>SUM(C154:C165)</f>
        <v>39.220624999999998</v>
      </c>
      <c r="E44" s="2"/>
      <c r="F44" s="2"/>
      <c r="G44" s="2"/>
      <c r="H44" s="231" t="s">
        <v>217</v>
      </c>
      <c r="I44" s="228">
        <f t="shared" ref="I44:I48" si="2">C321</f>
        <v>0.51666666666666661</v>
      </c>
      <c r="J44" s="228">
        <f t="shared" si="1"/>
        <v>50.849622071050632</v>
      </c>
      <c r="K44" s="228">
        <f t="shared" si="1"/>
        <v>42.599622071050632</v>
      </c>
      <c r="L44" s="228">
        <f t="shared" si="1"/>
        <v>42.599622071050632</v>
      </c>
      <c r="M44" s="228">
        <f t="shared" si="1"/>
        <v>43.987377173091453</v>
      </c>
      <c r="N44" s="228">
        <f t="shared" si="1"/>
        <v>47.987377173091453</v>
      </c>
      <c r="O44" s="228">
        <f t="shared" si="1"/>
        <v>48.599622071050639</v>
      </c>
      <c r="P44" s="228">
        <f t="shared" si="1"/>
        <v>39.85404383975812</v>
      </c>
      <c r="Q44" s="232">
        <f t="shared" si="1"/>
        <v>316.99395313681021</v>
      </c>
      <c r="R44" s="2"/>
      <c r="S44" s="2"/>
      <c r="T44" s="2"/>
      <c r="U44" s="2"/>
      <c r="V44" s="3"/>
    </row>
    <row r="45" spans="1:22" hidden="1" outlineLevel="1">
      <c r="A45" s="2"/>
      <c r="B45" s="2"/>
      <c r="C45" s="2" t="s">
        <v>218</v>
      </c>
      <c r="D45" s="7">
        <f>SUM(C169:C180)</f>
        <v>313.59187500000002</v>
      </c>
      <c r="E45" s="2"/>
      <c r="F45" s="2"/>
      <c r="G45" s="2"/>
      <c r="H45" s="231" t="s">
        <v>219</v>
      </c>
      <c r="I45" s="228">
        <f t="shared" si="2"/>
        <v>0.51666666666666661</v>
      </c>
      <c r="J45" s="228">
        <f t="shared" si="1"/>
        <v>50.237377173091453</v>
      </c>
      <c r="K45" s="228">
        <f t="shared" si="1"/>
        <v>41.987377173091453</v>
      </c>
      <c r="L45" s="228">
        <f t="shared" si="1"/>
        <v>41.987377173091453</v>
      </c>
      <c r="M45" s="228">
        <f t="shared" si="1"/>
        <v>43.987377173091453</v>
      </c>
      <c r="N45" s="228">
        <f t="shared" si="1"/>
        <v>48.599622071050639</v>
      </c>
      <c r="O45" s="228">
        <f t="shared" si="1"/>
        <v>48.599622071050639</v>
      </c>
      <c r="P45" s="228">
        <f t="shared" si="1"/>
        <v>39.85404383975812</v>
      </c>
      <c r="Q45" s="232">
        <f t="shared" si="1"/>
        <v>315.76946334089189</v>
      </c>
      <c r="R45" s="2"/>
      <c r="S45" s="2"/>
      <c r="T45" s="2"/>
      <c r="U45" s="2"/>
      <c r="V45" s="3"/>
    </row>
    <row r="46" spans="1:22" hidden="1" outlineLevel="1">
      <c r="A46" s="2"/>
      <c r="B46" s="5" t="s">
        <v>220</v>
      </c>
      <c r="C46" s="5" t="s">
        <v>205</v>
      </c>
      <c r="D46" s="12">
        <f>D129+E130+F131+G132</f>
        <v>1012.20011</v>
      </c>
      <c r="E46" s="2"/>
      <c r="F46" s="2"/>
      <c r="G46" s="2"/>
      <c r="H46" s="231" t="s">
        <v>221</v>
      </c>
      <c r="I46" s="228">
        <f t="shared" si="2"/>
        <v>0.51666666666666661</v>
      </c>
      <c r="J46" s="228">
        <f t="shared" si="1"/>
        <v>37.33110355253212</v>
      </c>
      <c r="K46" s="228">
        <f t="shared" si="1"/>
        <v>29.08110355253212</v>
      </c>
      <c r="L46" s="228">
        <f t="shared" si="1"/>
        <v>28.468858654572937</v>
      </c>
      <c r="M46" s="228">
        <f t="shared" si="1"/>
        <v>30.468858654572937</v>
      </c>
      <c r="N46" s="228">
        <f t="shared" si="1"/>
        <v>34.468858654572941</v>
      </c>
      <c r="O46" s="228">
        <f t="shared" si="1"/>
        <v>34.468858654572941</v>
      </c>
      <c r="P46" s="228">
        <f t="shared" si="1"/>
        <v>26.335525321239604</v>
      </c>
      <c r="Q46" s="232">
        <f t="shared" si="1"/>
        <v>221.1398337112623</v>
      </c>
      <c r="R46" s="2"/>
      <c r="S46" s="2"/>
      <c r="T46" s="2"/>
      <c r="U46" s="2"/>
      <c r="V46" s="3"/>
    </row>
    <row r="47" spans="1:22" hidden="1" outlineLevel="1">
      <c r="A47" s="2"/>
      <c r="B47" s="2"/>
      <c r="C47" s="2" t="s">
        <v>222</v>
      </c>
      <c r="D47" s="7">
        <f>M68</f>
        <v>203.116767995</v>
      </c>
      <c r="E47" s="204">
        <f>D47/D46</f>
        <v>0.20066858913402016</v>
      </c>
      <c r="F47" s="2"/>
      <c r="G47" s="2"/>
      <c r="H47" s="231" t="s">
        <v>223</v>
      </c>
      <c r="I47" s="228">
        <f t="shared" si="2"/>
        <v>0.51666666666666661</v>
      </c>
      <c r="J47" s="228">
        <f t="shared" si="1"/>
        <v>37.331103552532127</v>
      </c>
      <c r="K47" s="228">
        <f t="shared" si="1"/>
        <v>29.081103552532124</v>
      </c>
      <c r="L47" s="228">
        <f t="shared" si="1"/>
        <v>28.468858654572941</v>
      </c>
      <c r="M47" s="228">
        <f t="shared" si="1"/>
        <v>23.709599395313681</v>
      </c>
      <c r="N47" s="228">
        <f t="shared" si="1"/>
        <v>27.709599395313681</v>
      </c>
      <c r="O47" s="228">
        <f t="shared" si="1"/>
        <v>27.709599395313681</v>
      </c>
      <c r="P47" s="228">
        <f t="shared" si="1"/>
        <v>19.576266061980348</v>
      </c>
      <c r="Q47" s="232">
        <f t="shared" si="1"/>
        <v>194.10279667422526</v>
      </c>
      <c r="R47" s="2"/>
      <c r="S47" s="2"/>
      <c r="T47" s="2"/>
      <c r="U47" s="2"/>
      <c r="V47" s="3"/>
    </row>
    <row r="48" spans="1:22" hidden="1" outlineLevel="1">
      <c r="A48" s="2"/>
      <c r="B48" s="2"/>
      <c r="C48" s="2"/>
      <c r="D48" s="2"/>
      <c r="E48" s="2"/>
      <c r="F48" s="2"/>
      <c r="G48" s="2"/>
      <c r="H48" s="231" t="s">
        <v>14</v>
      </c>
      <c r="I48" s="232">
        <f t="shared" si="2"/>
        <v>2.583333333333333</v>
      </c>
      <c r="J48" s="232">
        <f t="shared" si="1"/>
        <v>226.59882842025695</v>
      </c>
      <c r="K48" s="232">
        <f t="shared" si="1"/>
        <v>185.34882842025695</v>
      </c>
      <c r="L48" s="232">
        <f t="shared" si="1"/>
        <v>184.12433862433858</v>
      </c>
      <c r="M48" s="232">
        <f t="shared" si="1"/>
        <v>186.14058956916097</v>
      </c>
      <c r="N48" s="232">
        <f t="shared" si="1"/>
        <v>206.75283446712015</v>
      </c>
      <c r="O48" s="232">
        <f t="shared" si="1"/>
        <v>207.97732426303853</v>
      </c>
      <c r="P48" s="232">
        <f t="shared" si="1"/>
        <v>165.47392290249434</v>
      </c>
      <c r="Q48" s="232"/>
      <c r="R48" s="2"/>
      <c r="S48" s="2"/>
      <c r="T48" s="2"/>
      <c r="U48" s="2"/>
      <c r="V48" s="3"/>
    </row>
    <row r="49" spans="1:29" hidden="1" outlineLevel="1">
      <c r="A49" s="2"/>
      <c r="B49" s="2"/>
      <c r="C49" s="5" t="s">
        <v>224</v>
      </c>
      <c r="D49" s="12">
        <f>SUM(D154:D165)+SUM(E154:E165)+SUM(F154:F165)</f>
        <v>199.88772839999996</v>
      </c>
      <c r="E49" s="5" t="s">
        <v>225</v>
      </c>
      <c r="F49" s="12">
        <f>SUM(F50:F52)</f>
        <v>723.6623816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</row>
    <row r="50" spans="1:29" hidden="1" outlineLevel="1">
      <c r="A50" s="2"/>
      <c r="B50" s="2"/>
      <c r="C50" s="13" t="s">
        <v>189</v>
      </c>
      <c r="D50" s="14">
        <f>SUM(D154:D165)</f>
        <v>4.7357374999999999</v>
      </c>
      <c r="E50" s="13" t="s">
        <v>189</v>
      </c>
      <c r="F50" s="7">
        <f>SUM(D169:D180)</f>
        <v>48.619512500000006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</row>
    <row r="51" spans="1:29" hidden="1" outlineLevel="1">
      <c r="A51" s="2"/>
      <c r="B51" s="2"/>
      <c r="C51" s="13" t="s">
        <v>191</v>
      </c>
      <c r="D51" s="14">
        <f>SUM(E154:E165)</f>
        <v>0.48409249999999998</v>
      </c>
      <c r="E51" s="13" t="s">
        <v>191</v>
      </c>
      <c r="F51" s="7">
        <f>SUM(E169:E180)</f>
        <v>4.2776325000000002</v>
      </c>
      <c r="G51" s="2"/>
      <c r="H51" s="2"/>
      <c r="I51" s="2"/>
      <c r="J51" s="2"/>
      <c r="K51" s="7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</row>
    <row r="52" spans="1:29" ht="20.149999999999999" hidden="1" customHeight="1" outlineLevel="1">
      <c r="A52" s="2"/>
      <c r="B52" s="2"/>
      <c r="C52" s="13" t="s">
        <v>141</v>
      </c>
      <c r="D52" s="14">
        <f>SUM(F154:F165)</f>
        <v>194.66789839999996</v>
      </c>
      <c r="E52" s="13" t="s">
        <v>141</v>
      </c>
      <c r="F52" s="7">
        <f>SUM(F169:F180)</f>
        <v>670.76523659999998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</row>
    <row r="53" spans="1:29" ht="57" hidden="1" customHeight="1" outlineLevel="1">
      <c r="A53" s="2"/>
      <c r="B53" s="2"/>
      <c r="C53" s="2"/>
      <c r="D53" s="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</row>
    <row r="54" spans="1:29" ht="18" hidden="1" customHeight="1" outlineLevel="1">
      <c r="A54" s="2"/>
      <c r="B54" s="11" t="s">
        <v>226</v>
      </c>
      <c r="C54" s="2"/>
      <c r="D54" s="2"/>
      <c r="E54" s="2"/>
      <c r="F54" s="2"/>
      <c r="G54" s="5" t="s">
        <v>227</v>
      </c>
      <c r="H54" s="2"/>
      <c r="I54" s="2"/>
      <c r="J54" s="2"/>
      <c r="K54" s="2"/>
      <c r="L54" s="5" t="s">
        <v>228</v>
      </c>
      <c r="M54" s="2"/>
      <c r="N54" s="2"/>
      <c r="O54" s="2"/>
      <c r="P54" s="2"/>
      <c r="Q54" s="2"/>
      <c r="R54" s="2"/>
      <c r="S54" s="2"/>
      <c r="T54" s="2"/>
      <c r="U54" s="2"/>
      <c r="V54" s="3"/>
    </row>
    <row r="55" spans="1:29" hidden="1" outlineLevel="1">
      <c r="A55" s="2"/>
      <c r="B55" s="6" t="s">
        <v>188</v>
      </c>
      <c r="C55" s="7">
        <f>SUMPRODUCT(C185:C196,$H$56:$H$67)/$H$68</f>
        <v>25.113361269745209</v>
      </c>
      <c r="D55" s="2" t="s">
        <v>229</v>
      </c>
      <c r="E55" s="7"/>
      <c r="F55" s="2"/>
      <c r="G55" s="2"/>
      <c r="H55" s="2" t="s">
        <v>230</v>
      </c>
      <c r="I55" s="2" t="s">
        <v>231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  <c r="X55" t="s">
        <v>232</v>
      </c>
      <c r="Z55" s="128"/>
      <c r="AA55" s="128"/>
      <c r="AB55" s="128"/>
      <c r="AC55" s="128"/>
    </row>
    <row r="56" spans="1:29" hidden="1" outlineLevel="1">
      <c r="A56" s="2"/>
      <c r="B56" s="6" t="s">
        <v>189</v>
      </c>
      <c r="C56" s="7">
        <f>SUMPRODUCT(D185:D196,$H$56:$H$67)/$H$68</f>
        <v>47.07905982905983</v>
      </c>
      <c r="D56" s="2" t="s">
        <v>229</v>
      </c>
      <c r="E56" s="7"/>
      <c r="F56" s="2"/>
      <c r="G56" s="8" t="s">
        <v>6</v>
      </c>
      <c r="H56" s="15">
        <f>IF(C18="x",A138/SUM($A$138:$A$149),"")</f>
        <v>7.326007326007326E-3</v>
      </c>
      <c r="I56" s="15">
        <f t="shared" ref="I56:I67" si="3">C399/SUM($C$399:$C$410)</f>
        <v>2.053179894045778E-3</v>
      </c>
      <c r="J56" s="2"/>
      <c r="K56" s="2"/>
      <c r="L56" s="8" t="s">
        <v>6</v>
      </c>
      <c r="M56" s="215">
        <f>D96*F138</f>
        <v>6.3360000000000041E-2</v>
      </c>
      <c r="N56" s="2"/>
      <c r="O56" s="2"/>
      <c r="P56" s="2"/>
      <c r="Q56" s="2"/>
      <c r="R56" s="2"/>
      <c r="S56" s="2"/>
      <c r="T56" s="2"/>
      <c r="U56" s="2"/>
      <c r="V56" s="3"/>
      <c r="X56">
        <v>0.2</v>
      </c>
      <c r="Z56" s="128"/>
      <c r="AA56" s="128"/>
      <c r="AB56" s="128"/>
      <c r="AC56" s="128"/>
    </row>
    <row r="57" spans="1:29" hidden="1" outlineLevel="1">
      <c r="A57" s="2"/>
      <c r="B57" s="6" t="s">
        <v>191</v>
      </c>
      <c r="C57" s="7">
        <f>SUMPRODUCT(E185:E196,$H$56:$H$67)/$H$68</f>
        <v>23.408062018069437</v>
      </c>
      <c r="D57" s="2" t="s">
        <v>229</v>
      </c>
      <c r="E57" s="7"/>
      <c r="F57" s="2"/>
      <c r="G57" s="8" t="s">
        <v>9</v>
      </c>
      <c r="H57" s="15">
        <f t="shared" ref="H57:H67" si="4">IF(C19="x",A139/SUM($A$138:$A$149),"")</f>
        <v>9.1575091575091569E-2</v>
      </c>
      <c r="I57" s="15">
        <f t="shared" si="3"/>
        <v>2.0278319941192873E-2</v>
      </c>
      <c r="J57" s="2"/>
      <c r="K57" s="2"/>
      <c r="L57" s="8" t="s">
        <v>9</v>
      </c>
      <c r="M57" s="215">
        <f t="shared" ref="M57:M67" si="5">D97*F139</f>
        <v>10.803374999999997</v>
      </c>
      <c r="N57" s="2"/>
      <c r="O57" s="2"/>
      <c r="P57" s="2"/>
      <c r="Q57" s="2"/>
      <c r="R57" s="2"/>
      <c r="S57" s="2"/>
      <c r="T57" s="2"/>
      <c r="U57" s="2"/>
      <c r="V57" s="3"/>
      <c r="X57">
        <v>0</v>
      </c>
      <c r="Z57" s="128"/>
      <c r="AA57" s="128"/>
      <c r="AB57" s="128"/>
      <c r="AC57" s="128"/>
    </row>
    <row r="58" spans="1:29" hidden="1" outlineLevel="1">
      <c r="A58" s="2"/>
      <c r="B58" s="6" t="s">
        <v>233</v>
      </c>
      <c r="C58" s="7">
        <f>SUMPRODUCT(F185:F196,$H$56:$H$67)/$H$68</f>
        <v>23.408062018069437</v>
      </c>
      <c r="D58" s="2" t="s">
        <v>229</v>
      </c>
      <c r="E58" s="7"/>
      <c r="F58" s="2"/>
      <c r="G58" s="8" t="s">
        <v>11</v>
      </c>
      <c r="H58" s="15">
        <f t="shared" si="4"/>
        <v>7.326007326007326E-3</v>
      </c>
      <c r="I58" s="15">
        <f t="shared" si="3"/>
        <v>2.5347899926491091E-3</v>
      </c>
      <c r="J58" s="2"/>
      <c r="K58" s="2"/>
      <c r="L58" s="8" t="s">
        <v>11</v>
      </c>
      <c r="M58" s="215">
        <f t="shared" si="5"/>
        <v>0.13028399999999998</v>
      </c>
      <c r="N58" s="2"/>
      <c r="O58" s="2"/>
      <c r="P58" s="2"/>
      <c r="Q58" s="2"/>
      <c r="R58" s="2"/>
      <c r="S58" s="2"/>
      <c r="T58" s="2"/>
      <c r="U58" s="2"/>
      <c r="V58" s="3"/>
      <c r="X58">
        <v>0.01</v>
      </c>
      <c r="Z58" s="128"/>
      <c r="AA58" s="128"/>
      <c r="AB58" s="128"/>
      <c r="AC58" s="128"/>
    </row>
    <row r="59" spans="1:29" hidden="1" outlineLevel="1">
      <c r="A59" s="2"/>
      <c r="B59" s="6" t="s">
        <v>193</v>
      </c>
      <c r="C59" s="7">
        <f>SUMPRODUCT(G185:G196,$H$56:$H$67)/$H$68</f>
        <v>12.985334781572229</v>
      </c>
      <c r="D59" s="2" t="s">
        <v>229</v>
      </c>
      <c r="E59" s="7"/>
      <c r="F59" s="2"/>
      <c r="G59" s="8" t="s">
        <v>13</v>
      </c>
      <c r="H59" s="15">
        <f t="shared" si="4"/>
        <v>9.5238095238095233E-2</v>
      </c>
      <c r="I59" s="15">
        <f t="shared" si="3"/>
        <v>0.20075536741780944</v>
      </c>
      <c r="J59" s="2"/>
      <c r="K59" s="2"/>
      <c r="L59" s="8" t="s">
        <v>13</v>
      </c>
      <c r="M59" s="215">
        <f t="shared" si="5"/>
        <v>13.178767744999998</v>
      </c>
      <c r="N59" s="2"/>
      <c r="O59" s="2"/>
      <c r="P59" s="2"/>
      <c r="Q59" s="2"/>
      <c r="R59" s="2"/>
      <c r="S59" s="2"/>
      <c r="T59" s="2"/>
      <c r="U59" s="2"/>
      <c r="V59" s="3"/>
      <c r="X59">
        <v>0</v>
      </c>
      <c r="Z59" s="128"/>
      <c r="AA59" s="128"/>
      <c r="AB59" s="128"/>
      <c r="AC59" s="128"/>
    </row>
    <row r="60" spans="1:29" hidden="1" outlineLevel="1">
      <c r="A60" s="2"/>
      <c r="B60" s="6" t="s">
        <v>194</v>
      </c>
      <c r="C60" s="2">
        <f>SUMPRODUCT(H201:H212,$H$56:$H$67)/$H$68</f>
        <v>5</v>
      </c>
      <c r="D60" s="2" t="s">
        <v>229</v>
      </c>
      <c r="E60" s="7"/>
      <c r="F60" s="2"/>
      <c r="G60" s="8" t="s">
        <v>15</v>
      </c>
      <c r="H60" s="15" t="str">
        <f t="shared" si="4"/>
        <v/>
      </c>
      <c r="I60" s="15">
        <f t="shared" si="3"/>
        <v>2.5347899926491092E-2</v>
      </c>
      <c r="J60" s="2"/>
      <c r="K60" s="2"/>
      <c r="L60" s="8" t="s">
        <v>15</v>
      </c>
      <c r="M60" s="215">
        <f t="shared" si="5"/>
        <v>0</v>
      </c>
      <c r="N60" s="2"/>
      <c r="O60" s="2"/>
      <c r="P60" s="2"/>
      <c r="Q60" s="2"/>
      <c r="R60" s="2"/>
      <c r="S60" s="2"/>
      <c r="T60" s="2"/>
      <c r="U60" s="2"/>
      <c r="V60" s="3"/>
      <c r="X60">
        <v>0</v>
      </c>
      <c r="Z60" s="128"/>
      <c r="AA60" s="128"/>
      <c r="AB60" s="128"/>
      <c r="AC60" s="128"/>
    </row>
    <row r="61" spans="1:29" hidden="1" outlineLevel="1">
      <c r="A61" s="2"/>
      <c r="B61" s="6"/>
      <c r="C61" s="2"/>
      <c r="D61" s="2"/>
      <c r="E61" s="2"/>
      <c r="F61" s="2"/>
      <c r="G61" s="8" t="s">
        <v>16</v>
      </c>
      <c r="H61" s="15">
        <f t="shared" si="4"/>
        <v>2.197802197802198E-2</v>
      </c>
      <c r="I61" s="15">
        <f t="shared" si="3"/>
        <v>8.8717649742718827E-3</v>
      </c>
      <c r="J61" s="2"/>
      <c r="K61" s="2"/>
      <c r="L61" s="8" t="s">
        <v>16</v>
      </c>
      <c r="M61" s="215">
        <f t="shared" si="5"/>
        <v>1.8899999999999995</v>
      </c>
      <c r="N61" s="2"/>
      <c r="O61" s="2"/>
      <c r="P61" s="2"/>
      <c r="Q61" s="2"/>
      <c r="R61" s="2"/>
      <c r="S61" s="2"/>
      <c r="T61" s="2"/>
      <c r="U61" s="2"/>
      <c r="V61" s="3"/>
      <c r="X61">
        <v>0</v>
      </c>
      <c r="Z61" s="128"/>
      <c r="AA61" s="128"/>
      <c r="AB61" s="128"/>
      <c r="AC61" s="128"/>
    </row>
    <row r="62" spans="1:29" hidden="1" outlineLevel="1">
      <c r="A62" s="2"/>
      <c r="B62" s="2"/>
      <c r="C62" s="2"/>
      <c r="D62" s="2"/>
      <c r="E62" s="2"/>
      <c r="F62" s="2"/>
      <c r="G62" s="8" t="s">
        <v>17</v>
      </c>
      <c r="H62" s="15" t="str">
        <f t="shared" si="4"/>
        <v/>
      </c>
      <c r="I62" s="15">
        <f t="shared" si="3"/>
        <v>1.5208739955894654E-2</v>
      </c>
      <c r="J62" s="2"/>
      <c r="K62" s="2"/>
      <c r="L62" s="8" t="s">
        <v>17</v>
      </c>
      <c r="M62" s="215">
        <f t="shared" si="5"/>
        <v>0</v>
      </c>
      <c r="N62" s="2"/>
      <c r="O62" s="2"/>
      <c r="P62" s="2"/>
      <c r="Q62" s="2"/>
      <c r="R62" s="2"/>
      <c r="S62" s="2"/>
      <c r="T62" s="2"/>
      <c r="U62" s="2"/>
      <c r="V62" s="3"/>
      <c r="X62">
        <v>0</v>
      </c>
      <c r="Z62" s="128"/>
      <c r="AA62" s="128"/>
      <c r="AB62" s="128"/>
      <c r="AC62" s="128"/>
    </row>
    <row r="63" spans="1:29" hidden="1" outlineLevel="1">
      <c r="A63" s="2"/>
      <c r="B63" s="11" t="s">
        <v>234</v>
      </c>
      <c r="C63" s="2"/>
      <c r="D63" s="2"/>
      <c r="E63" s="2"/>
      <c r="F63" s="2"/>
      <c r="G63" s="8" t="s">
        <v>18</v>
      </c>
      <c r="H63" s="15" t="str">
        <f t="shared" si="4"/>
        <v/>
      </c>
      <c r="I63" s="15">
        <f t="shared" si="3"/>
        <v>0.15208739955894654</v>
      </c>
      <c r="J63" s="2"/>
      <c r="K63" s="2"/>
      <c r="L63" s="8" t="s">
        <v>18</v>
      </c>
      <c r="M63" s="215">
        <f t="shared" si="5"/>
        <v>0</v>
      </c>
      <c r="N63" s="2"/>
      <c r="O63" s="2"/>
      <c r="P63" s="2"/>
      <c r="Q63" s="2"/>
      <c r="R63" s="2"/>
      <c r="S63" s="2"/>
      <c r="T63" s="2"/>
      <c r="U63" s="2"/>
      <c r="V63" s="3"/>
      <c r="X63">
        <v>0.05</v>
      </c>
      <c r="Z63" s="128"/>
      <c r="AA63" s="128"/>
      <c r="AB63" s="128"/>
      <c r="AC63" s="128"/>
    </row>
    <row r="64" spans="1:29" hidden="1" outlineLevel="1">
      <c r="A64" s="2"/>
      <c r="B64" s="11" t="s">
        <v>235</v>
      </c>
      <c r="C64" s="2"/>
      <c r="D64" s="2"/>
      <c r="E64" s="2"/>
      <c r="F64" s="2"/>
      <c r="G64" s="8" t="s">
        <v>19</v>
      </c>
      <c r="H64" s="15" t="str">
        <f t="shared" si="4"/>
        <v/>
      </c>
      <c r="I64" s="15">
        <f t="shared" si="3"/>
        <v>1.0139159970596437E-2</v>
      </c>
      <c r="J64" s="2"/>
      <c r="K64" s="2"/>
      <c r="L64" s="8" t="s">
        <v>19</v>
      </c>
      <c r="M64" s="215">
        <f t="shared" si="5"/>
        <v>0</v>
      </c>
      <c r="N64" s="2"/>
      <c r="O64" s="2"/>
      <c r="P64" s="2"/>
      <c r="Q64" s="2"/>
      <c r="R64" s="2"/>
      <c r="S64" s="2"/>
      <c r="T64" s="2"/>
      <c r="U64" s="2"/>
      <c r="V64" s="3"/>
      <c r="X64">
        <v>0.01</v>
      </c>
      <c r="Z64" s="128"/>
      <c r="AA64" s="128"/>
      <c r="AB64" s="128"/>
      <c r="AC64" s="128"/>
    </row>
    <row r="65" spans="1:29" hidden="1" outlineLevel="1">
      <c r="A65" s="2"/>
      <c r="B65" s="18" t="s">
        <v>236</v>
      </c>
      <c r="C65" s="19">
        <v>6.5</v>
      </c>
      <c r="D65" s="2"/>
      <c r="E65" s="2"/>
      <c r="F65" s="2"/>
      <c r="G65" s="8" t="s">
        <v>20</v>
      </c>
      <c r="H65" s="15">
        <f t="shared" si="4"/>
        <v>0.53479853479853479</v>
      </c>
      <c r="I65" s="15">
        <f t="shared" si="3"/>
        <v>0.50695799852982182</v>
      </c>
      <c r="J65" s="2"/>
      <c r="K65" s="2"/>
      <c r="L65" s="8" t="s">
        <v>20</v>
      </c>
      <c r="M65" s="215">
        <f t="shared" si="5"/>
        <v>162.20098125000001</v>
      </c>
      <c r="N65" s="2"/>
      <c r="O65" s="2"/>
      <c r="P65" s="2"/>
      <c r="Q65" s="2"/>
      <c r="R65" s="2"/>
      <c r="S65" s="2"/>
      <c r="T65" s="2"/>
      <c r="U65" s="2"/>
      <c r="V65" s="3"/>
      <c r="X65">
        <v>0.01</v>
      </c>
      <c r="Z65" s="128"/>
      <c r="AA65" s="128"/>
      <c r="AB65" s="128"/>
      <c r="AC65" s="128"/>
    </row>
    <row r="66" spans="1:29" hidden="1" outlineLevel="1">
      <c r="A66" s="2"/>
      <c r="B66" s="18" t="s">
        <v>237</v>
      </c>
      <c r="C66" s="2">
        <f>C65*60</f>
        <v>390</v>
      </c>
      <c r="D66" s="2"/>
      <c r="E66" s="2"/>
      <c r="F66" s="2"/>
      <c r="G66" s="8" t="s">
        <v>21</v>
      </c>
      <c r="H66" s="15" t="str">
        <f t="shared" si="4"/>
        <v/>
      </c>
      <c r="I66" s="15">
        <f t="shared" si="3"/>
        <v>5.0695799852982183E-3</v>
      </c>
      <c r="J66" s="2"/>
      <c r="K66" s="2"/>
      <c r="L66" s="8" t="s">
        <v>21</v>
      </c>
      <c r="M66" s="215">
        <f t="shared" si="5"/>
        <v>0</v>
      </c>
      <c r="N66" s="2"/>
      <c r="O66" s="2"/>
      <c r="P66" s="2"/>
      <c r="Q66" s="2"/>
      <c r="R66" s="2"/>
      <c r="S66" s="2"/>
      <c r="T66" s="2"/>
      <c r="U66" s="2"/>
      <c r="V66" s="3"/>
      <c r="X66">
        <v>0.6</v>
      </c>
      <c r="Z66" s="128"/>
      <c r="AA66" s="128"/>
      <c r="AB66" s="128"/>
      <c r="AC66" s="128"/>
    </row>
    <row r="67" spans="1:29" hidden="1" outlineLevel="1">
      <c r="A67" s="2"/>
      <c r="B67" s="11" t="s">
        <v>238</v>
      </c>
      <c r="C67" s="2"/>
      <c r="D67" s="2"/>
      <c r="E67" s="2"/>
      <c r="F67" s="2"/>
      <c r="G67" s="8" t="s">
        <v>22</v>
      </c>
      <c r="H67" s="15">
        <f t="shared" si="4"/>
        <v>0.24175824175824176</v>
      </c>
      <c r="I67" s="15">
        <f t="shared" si="3"/>
        <v>5.0695799852982185E-2</v>
      </c>
      <c r="J67" s="2"/>
      <c r="K67" s="2"/>
      <c r="L67" s="8" t="s">
        <v>22</v>
      </c>
      <c r="M67" s="215">
        <f t="shared" si="5"/>
        <v>14.849999999999989</v>
      </c>
      <c r="N67" s="2"/>
      <c r="O67" s="2"/>
      <c r="P67" s="2"/>
      <c r="Q67" s="2"/>
      <c r="R67" s="2"/>
      <c r="S67" s="2"/>
      <c r="T67" s="2"/>
      <c r="U67" s="2"/>
      <c r="V67" s="3"/>
      <c r="X67">
        <v>0</v>
      </c>
    </row>
    <row r="68" spans="1:29" hidden="1" outlineLevel="1">
      <c r="A68" s="2"/>
      <c r="B68" s="18" t="s">
        <v>236</v>
      </c>
      <c r="C68" s="2">
        <f>C65*5</f>
        <v>32.5</v>
      </c>
      <c r="D68" s="2"/>
      <c r="E68" s="2"/>
      <c r="F68" s="2"/>
      <c r="G68" s="2"/>
      <c r="H68" s="20">
        <f>SUM(H56:H67)</f>
        <v>1</v>
      </c>
      <c r="I68" s="20">
        <f>SUM(I56:I67)</f>
        <v>1</v>
      </c>
      <c r="J68" s="2"/>
      <c r="K68" s="2"/>
      <c r="L68" s="2"/>
      <c r="M68" s="7">
        <f>SUM(M56:M67)</f>
        <v>203.116767995</v>
      </c>
      <c r="N68" s="2"/>
      <c r="O68" s="2"/>
      <c r="P68" s="2"/>
      <c r="Q68" s="2"/>
      <c r="R68" s="2"/>
      <c r="S68" s="2"/>
      <c r="T68" s="2"/>
      <c r="U68" s="2"/>
      <c r="V68" s="3"/>
    </row>
    <row r="69" spans="1:29" hidden="1" outlineLevel="1">
      <c r="A69" s="2"/>
      <c r="B69" s="18" t="s">
        <v>237</v>
      </c>
      <c r="C69" s="2">
        <f>C68*60</f>
        <v>1950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3"/>
    </row>
    <row r="70" spans="1:29" hidden="1" outlineLevel="1">
      <c r="A70" s="2"/>
      <c r="B70" s="1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3"/>
    </row>
    <row r="71" spans="1:29" hidden="1" outlineLevel="1">
      <c r="A71" s="2"/>
      <c r="B71" s="11" t="s">
        <v>239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/>
    </row>
    <row r="72" spans="1:29" ht="17.149999999999999" hidden="1" customHeight="1" outlineLevel="1">
      <c r="A72" s="2"/>
      <c r="B72" s="6" t="s">
        <v>188</v>
      </c>
      <c r="C72" s="19">
        <v>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3"/>
    </row>
    <row r="73" spans="1:29" ht="17.149999999999999" hidden="1" customHeight="1" outlineLevel="1">
      <c r="A73" s="2"/>
      <c r="B73" s="6" t="s">
        <v>189</v>
      </c>
      <c r="C73" s="19">
        <v>5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3"/>
    </row>
    <row r="74" spans="1:29" ht="17.149999999999999" hidden="1" customHeight="1" outlineLevel="1">
      <c r="A74" s="2"/>
      <c r="B74" s="6" t="s">
        <v>191</v>
      </c>
      <c r="C74" s="19">
        <v>5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3"/>
    </row>
    <row r="75" spans="1:29" ht="17.149999999999999" hidden="1" customHeight="1" outlineLevel="1">
      <c r="A75" s="2"/>
      <c r="B75" s="6" t="s">
        <v>141</v>
      </c>
      <c r="C75" s="19">
        <v>5</v>
      </c>
      <c r="D75" s="2"/>
      <c r="E75" s="2"/>
      <c r="F75" s="2"/>
      <c r="G75" s="2"/>
      <c r="H75" s="2"/>
      <c r="I75" s="2"/>
      <c r="J75" s="2"/>
      <c r="K75" s="2"/>
      <c r="L75" s="6"/>
      <c r="M75" s="2"/>
      <c r="N75" s="2"/>
      <c r="O75" s="2"/>
      <c r="P75" s="2"/>
      <c r="Q75" s="2"/>
      <c r="R75" s="2"/>
      <c r="S75" s="2"/>
      <c r="T75" s="2"/>
      <c r="U75" s="2"/>
      <c r="V75" s="3"/>
    </row>
    <row r="76" spans="1:29" ht="17.149999999999999" hidden="1" customHeight="1" outlineLevel="1">
      <c r="A76" s="2"/>
      <c r="B76" s="6" t="s">
        <v>193</v>
      </c>
      <c r="C76" s="19">
        <v>0</v>
      </c>
      <c r="D76" s="2"/>
      <c r="E76" s="2"/>
      <c r="F76" s="2"/>
      <c r="G76" s="2"/>
      <c r="H76" s="2"/>
      <c r="I76" s="2"/>
      <c r="J76" s="2"/>
      <c r="K76" s="2"/>
      <c r="L76" s="6"/>
      <c r="M76" s="2"/>
      <c r="N76" s="2"/>
      <c r="O76" s="2"/>
      <c r="P76" s="2"/>
      <c r="Q76" s="2"/>
      <c r="R76" s="2"/>
      <c r="S76" s="2"/>
      <c r="T76" s="2"/>
      <c r="U76" s="2"/>
      <c r="V76" s="3"/>
    </row>
    <row r="77" spans="1:29" ht="17.149999999999999" hidden="1" customHeight="1" outlineLevel="1">
      <c r="A77" s="2"/>
      <c r="B77" s="6" t="s">
        <v>194</v>
      </c>
      <c r="C77" s="19">
        <v>0</v>
      </c>
      <c r="D77" s="2"/>
      <c r="E77" s="2"/>
      <c r="F77" s="2"/>
      <c r="G77" s="2"/>
      <c r="H77" s="2"/>
      <c r="I77" s="2"/>
      <c r="J77" s="2"/>
      <c r="K77" s="2"/>
      <c r="L77" s="6"/>
      <c r="M77" s="2"/>
      <c r="N77" s="2"/>
      <c r="O77" s="2"/>
      <c r="P77" s="2"/>
      <c r="Q77" s="2"/>
      <c r="R77" s="2"/>
      <c r="S77" s="2"/>
      <c r="T77" s="2"/>
      <c r="U77" s="2"/>
      <c r="V77" s="3"/>
    </row>
    <row r="78" spans="1:29" ht="17.149999999999999" hidden="1" customHeight="1" outlineLevel="1">
      <c r="A78" s="2"/>
      <c r="B78" s="6"/>
      <c r="C78" s="2"/>
      <c r="D78" s="2"/>
      <c r="E78" s="2"/>
      <c r="F78" s="2"/>
      <c r="G78" s="2"/>
      <c r="H78" s="2"/>
      <c r="I78" s="2"/>
      <c r="J78" s="2"/>
      <c r="K78" s="2"/>
      <c r="L78" s="6"/>
      <c r="M78" s="2"/>
      <c r="N78" s="2"/>
      <c r="O78" s="2"/>
      <c r="P78" s="2"/>
      <c r="Q78" s="2"/>
      <c r="R78" s="2"/>
      <c r="S78" s="2"/>
      <c r="T78" s="2"/>
      <c r="U78" s="2"/>
      <c r="V78" s="3"/>
    </row>
    <row r="79" spans="1:29" ht="17.149999999999999" hidden="1" customHeight="1" outlineLevel="1">
      <c r="A79" s="2"/>
      <c r="B79" s="6"/>
      <c r="C79" s="2"/>
      <c r="D79" s="2"/>
      <c r="E79" s="2"/>
      <c r="F79" s="2"/>
      <c r="G79" s="2"/>
      <c r="H79" s="2"/>
      <c r="I79" s="2"/>
      <c r="J79" s="2"/>
      <c r="K79" s="2"/>
      <c r="L79" s="6"/>
      <c r="M79" s="2"/>
      <c r="N79" s="2"/>
      <c r="O79" s="2"/>
      <c r="P79" s="2"/>
      <c r="Q79" s="2"/>
      <c r="R79" s="2"/>
      <c r="S79" s="2"/>
      <c r="T79" s="2"/>
      <c r="U79" s="2"/>
      <c r="V79" s="3"/>
    </row>
    <row r="80" spans="1:29" ht="17.149999999999999" hidden="1" customHeight="1" outlineLevel="1">
      <c r="A80" s="2"/>
      <c r="B80" s="11" t="s">
        <v>240</v>
      </c>
      <c r="C80" s="2"/>
      <c r="D80" s="2"/>
      <c r="E80" s="5" t="s">
        <v>241</v>
      </c>
      <c r="F80" s="2"/>
      <c r="G80" s="5"/>
      <c r="H80" s="2"/>
      <c r="I80" s="2"/>
      <c r="J80" s="2"/>
      <c r="K80" s="2"/>
      <c r="L80" s="6"/>
      <c r="M80" s="2"/>
      <c r="N80" s="2"/>
      <c r="O80" s="2"/>
      <c r="P80" s="2"/>
      <c r="Q80" s="2"/>
      <c r="R80" s="2"/>
      <c r="S80" s="2"/>
      <c r="T80" s="2"/>
      <c r="U80" s="2"/>
      <c r="V80" s="3"/>
    </row>
    <row r="81" spans="1:22" ht="17.149999999999999" hidden="1" customHeight="1" outlineLevel="1">
      <c r="A81" s="2"/>
      <c r="B81" s="6" t="s">
        <v>188</v>
      </c>
      <c r="C81" s="19">
        <v>8</v>
      </c>
      <c r="D81" s="2"/>
      <c r="E81" s="6" t="s">
        <v>188</v>
      </c>
      <c r="F81" s="19">
        <v>0</v>
      </c>
      <c r="G81" s="8"/>
      <c r="H81" s="2"/>
      <c r="I81" s="2"/>
      <c r="J81" s="2"/>
      <c r="K81" s="2"/>
      <c r="L81" s="6"/>
      <c r="M81" s="2"/>
      <c r="N81" s="2"/>
      <c r="O81" s="2"/>
      <c r="P81" s="2"/>
      <c r="Q81" s="2"/>
      <c r="R81" s="2"/>
      <c r="S81" s="2"/>
      <c r="T81" s="2"/>
      <c r="U81" s="2"/>
      <c r="V81" s="3"/>
    </row>
    <row r="82" spans="1:22" ht="17.149999999999999" hidden="1" customHeight="1" outlineLevel="1">
      <c r="A82" s="2"/>
      <c r="B82" s="6" t="s">
        <v>189</v>
      </c>
      <c r="C82" s="19">
        <v>8</v>
      </c>
      <c r="D82" s="2"/>
      <c r="E82" s="6" t="s">
        <v>189</v>
      </c>
      <c r="F82" s="19">
        <v>0</v>
      </c>
      <c r="G82" s="8"/>
      <c r="H82" s="2"/>
      <c r="I82" s="2"/>
      <c r="J82" s="2"/>
      <c r="K82" s="2"/>
      <c r="L82" s="6"/>
      <c r="M82" s="2"/>
      <c r="N82" s="2"/>
      <c r="O82" s="2"/>
      <c r="P82" s="2"/>
      <c r="Q82" s="2"/>
      <c r="R82" s="2"/>
      <c r="S82" s="2"/>
      <c r="T82" s="2"/>
      <c r="U82" s="2"/>
      <c r="V82" s="3"/>
    </row>
    <row r="83" spans="1:22" ht="17.149999999999999" hidden="1" customHeight="1" outlineLevel="1">
      <c r="A83" s="2"/>
      <c r="B83" s="6" t="s">
        <v>191</v>
      </c>
      <c r="C83" s="19">
        <v>10</v>
      </c>
      <c r="D83" s="2"/>
      <c r="E83" s="6" t="s">
        <v>191</v>
      </c>
      <c r="F83" s="19">
        <v>0</v>
      </c>
      <c r="G83" s="8"/>
      <c r="H83" s="2"/>
      <c r="I83" s="2"/>
      <c r="J83" s="2"/>
      <c r="K83" s="2"/>
      <c r="L83" s="6"/>
      <c r="M83" s="2"/>
      <c r="N83" s="2"/>
      <c r="O83" s="2"/>
      <c r="P83" s="2"/>
      <c r="Q83" s="2"/>
      <c r="R83" s="2"/>
      <c r="S83" s="2"/>
      <c r="T83" s="2"/>
      <c r="U83" s="2"/>
      <c r="V83" s="3"/>
    </row>
    <row r="84" spans="1:22" ht="17.149999999999999" hidden="1" customHeight="1" outlineLevel="1">
      <c r="A84" s="2"/>
      <c r="B84" s="6" t="s">
        <v>141</v>
      </c>
      <c r="C84" s="19">
        <v>10</v>
      </c>
      <c r="D84" s="2"/>
      <c r="E84" s="6" t="s">
        <v>141</v>
      </c>
      <c r="F84" s="19">
        <v>0</v>
      </c>
      <c r="G84" s="8"/>
      <c r="H84" s="2"/>
      <c r="I84" s="2"/>
      <c r="J84" s="2"/>
      <c r="K84" s="2"/>
      <c r="L84" s="6"/>
      <c r="M84" s="2"/>
      <c r="N84" s="2"/>
      <c r="O84" s="2"/>
      <c r="P84" s="2"/>
      <c r="Q84" s="2"/>
      <c r="R84" s="2"/>
      <c r="S84" s="2"/>
      <c r="T84" s="2"/>
      <c r="U84" s="2"/>
      <c r="V84" s="3"/>
    </row>
    <row r="85" spans="1:22" ht="17.149999999999999" hidden="1" customHeight="1" outlineLevel="1">
      <c r="A85" s="2"/>
      <c r="B85" s="6" t="s">
        <v>193</v>
      </c>
      <c r="C85" s="19">
        <v>0</v>
      </c>
      <c r="D85" s="2"/>
      <c r="E85" s="6" t="s">
        <v>193</v>
      </c>
      <c r="F85" s="19">
        <v>0</v>
      </c>
      <c r="G85" s="8"/>
      <c r="H85" s="2"/>
      <c r="I85" s="2"/>
      <c r="J85" s="2"/>
      <c r="K85" s="2"/>
      <c r="L85" s="6"/>
      <c r="M85" s="2"/>
      <c r="N85" s="2"/>
      <c r="O85" s="2"/>
      <c r="P85" s="2"/>
      <c r="Q85" s="2"/>
      <c r="R85" s="2"/>
      <c r="S85" s="2"/>
      <c r="T85" s="2"/>
      <c r="U85" s="2"/>
      <c r="V85" s="3"/>
    </row>
    <row r="86" spans="1:22" ht="17.149999999999999" hidden="1" customHeight="1" outlineLevel="1">
      <c r="A86" s="2"/>
      <c r="B86" s="6" t="s">
        <v>194</v>
      </c>
      <c r="C86" s="19">
        <v>0</v>
      </c>
      <c r="D86" s="2"/>
      <c r="E86" s="6" t="s">
        <v>194</v>
      </c>
      <c r="F86" s="19">
        <v>0</v>
      </c>
      <c r="G86" s="8"/>
      <c r="H86" s="2"/>
      <c r="I86" s="2"/>
      <c r="J86" s="2"/>
      <c r="K86" s="2"/>
      <c r="L86" s="6"/>
      <c r="M86" s="2"/>
      <c r="N86" s="2"/>
      <c r="O86" s="2"/>
      <c r="P86" s="2"/>
      <c r="Q86" s="2"/>
      <c r="R86" s="2"/>
      <c r="S86" s="2"/>
      <c r="T86" s="2"/>
      <c r="U86" s="2"/>
      <c r="V86" s="3"/>
    </row>
    <row r="87" spans="1:22" ht="17.149999999999999" hidden="1" customHeight="1" outlineLevel="1">
      <c r="A87" s="2"/>
      <c r="B87" s="6"/>
      <c r="C87" s="2"/>
      <c r="D87" s="2"/>
      <c r="E87" s="2"/>
      <c r="F87" s="2"/>
      <c r="G87" s="8"/>
      <c r="H87" s="2"/>
      <c r="I87" s="2"/>
      <c r="J87" s="2"/>
      <c r="K87" s="2"/>
      <c r="L87" s="6"/>
      <c r="M87" s="2"/>
      <c r="N87" s="2"/>
      <c r="O87" s="2"/>
      <c r="P87" s="2"/>
      <c r="Q87" s="2"/>
      <c r="R87" s="2"/>
      <c r="S87" s="2"/>
      <c r="T87" s="2"/>
      <c r="U87" s="2"/>
      <c r="V87" s="3"/>
    </row>
    <row r="88" spans="1:22" collapsed="1">
      <c r="A88" s="21" t="s">
        <v>242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6"/>
    </row>
    <row r="89" spans="1:22" s="2" customFormat="1">
      <c r="A89" s="205" t="s">
        <v>243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6"/>
    </row>
    <row r="90" spans="1:22" s="2" customFormat="1" hidden="1" outlineLevel="1">
      <c r="V90" s="3"/>
    </row>
    <row r="91" spans="1:22" s="2" customFormat="1" hidden="1" outlineLevel="1">
      <c r="V91" s="3"/>
    </row>
    <row r="92" spans="1:22" s="2" customFormat="1" hidden="1" outlineLevel="1">
      <c r="V92" s="3"/>
    </row>
    <row r="93" spans="1:22" s="2" customFormat="1" hidden="1" outlineLevel="1">
      <c r="V93" s="3"/>
    </row>
    <row r="94" spans="1:22" s="2" customFormat="1" hidden="1" outlineLevel="1">
      <c r="C94" s="305" t="s">
        <v>244</v>
      </c>
      <c r="D94" s="306"/>
      <c r="F94" s="308" t="s">
        <v>245</v>
      </c>
      <c r="G94" s="309"/>
      <c r="H94" s="309"/>
      <c r="I94" s="309"/>
      <c r="J94" s="309"/>
      <c r="K94" s="309"/>
      <c r="L94" s="309"/>
      <c r="M94" s="310"/>
      <c r="V94" s="3"/>
    </row>
    <row r="95" spans="1:22" s="2" customFormat="1" ht="31" hidden="1" outlineLevel="1">
      <c r="C95" s="201" t="s">
        <v>246</v>
      </c>
      <c r="D95" s="201" t="s">
        <v>247</v>
      </c>
      <c r="F95" s="200" t="s">
        <v>248</v>
      </c>
      <c r="G95" s="200" t="s">
        <v>249</v>
      </c>
      <c r="H95" s="307" t="s">
        <v>250</v>
      </c>
      <c r="I95" s="307"/>
      <c r="J95" s="307"/>
      <c r="K95" s="307"/>
      <c r="L95" s="307"/>
      <c r="M95" s="307"/>
      <c r="V95" s="3"/>
    </row>
    <row r="96" spans="1:22" s="2" customFormat="1" hidden="1" outlineLevel="1">
      <c r="B96" s="8" t="s">
        <v>6</v>
      </c>
      <c r="C96" s="202">
        <f>1-D96</f>
        <v>0.79999999999999993</v>
      </c>
      <c r="D96" s="202">
        <f>1-P384-AC368-I96</f>
        <v>0.20000000000000007</v>
      </c>
      <c r="F96" s="203" t="s">
        <v>251</v>
      </c>
      <c r="G96" s="203" t="s">
        <v>252</v>
      </c>
      <c r="H96" s="303" t="s">
        <v>251</v>
      </c>
      <c r="I96" s="303"/>
      <c r="J96" s="303"/>
      <c r="K96" s="303"/>
      <c r="L96" s="303"/>
      <c r="M96" s="303"/>
      <c r="V96" s="3"/>
    </row>
    <row r="97" spans="2:22" s="2" customFormat="1" hidden="1" outlineLevel="1">
      <c r="B97" s="8" t="s">
        <v>9</v>
      </c>
      <c r="C97" s="202">
        <f t="shared" ref="C97:C107" si="6">1-D97</f>
        <v>0.9</v>
      </c>
      <c r="D97" s="202">
        <f>1-P385-AC369-0.35</f>
        <v>9.9999999999999978E-2</v>
      </c>
      <c r="F97" s="203" t="s">
        <v>253</v>
      </c>
      <c r="G97" s="203" t="s">
        <v>254</v>
      </c>
      <c r="H97" s="303" t="s">
        <v>253</v>
      </c>
      <c r="I97" s="303"/>
      <c r="J97" s="303"/>
      <c r="K97" s="303"/>
      <c r="L97" s="303"/>
      <c r="M97" s="303"/>
      <c r="V97" s="3"/>
    </row>
    <row r="98" spans="2:22" s="2" customFormat="1" hidden="1" outlineLevel="1">
      <c r="B98" s="8" t="s">
        <v>11</v>
      </c>
      <c r="C98" s="202">
        <f t="shared" si="6"/>
        <v>6.0000000000000053E-2</v>
      </c>
      <c r="D98" s="202">
        <f>1-P386-AC370-I98</f>
        <v>0.94</v>
      </c>
      <c r="F98" s="203" t="s">
        <v>251</v>
      </c>
      <c r="G98" s="203" t="s">
        <v>255</v>
      </c>
      <c r="H98" s="303" t="s">
        <v>253</v>
      </c>
      <c r="I98" s="303"/>
      <c r="J98" s="303"/>
      <c r="K98" s="303"/>
      <c r="L98" s="303"/>
      <c r="M98" s="303"/>
      <c r="V98" s="3"/>
    </row>
    <row r="99" spans="2:22" s="2" customFormat="1" hidden="1" outlineLevel="1">
      <c r="B99" s="8" t="s">
        <v>13</v>
      </c>
      <c r="C99" s="202">
        <f t="shared" si="6"/>
        <v>0.89549999999999996</v>
      </c>
      <c r="D99" s="202">
        <f>1-P387-AC371-I99-0.08</f>
        <v>0.1045</v>
      </c>
      <c r="F99" s="203" t="s">
        <v>253</v>
      </c>
      <c r="G99" s="203" t="s">
        <v>254</v>
      </c>
      <c r="H99" s="303" t="s">
        <v>253</v>
      </c>
      <c r="I99" s="303"/>
      <c r="J99" s="303"/>
      <c r="K99" s="303"/>
      <c r="L99" s="303"/>
      <c r="M99" s="303"/>
      <c r="V99" s="3"/>
    </row>
    <row r="100" spans="2:22" s="2" customFormat="1" hidden="1" outlineLevel="1">
      <c r="B100" s="8" t="s">
        <v>15</v>
      </c>
      <c r="C100" s="202">
        <f t="shared" si="6"/>
        <v>0.9</v>
      </c>
      <c r="D100" s="202">
        <f>1-P388-AC372-I100-0.9</f>
        <v>9.9999999999999978E-2</v>
      </c>
      <c r="F100" s="203" t="s">
        <v>253</v>
      </c>
      <c r="G100" s="203" t="s">
        <v>256</v>
      </c>
      <c r="H100" s="303" t="s">
        <v>253</v>
      </c>
      <c r="I100" s="303"/>
      <c r="J100" s="303"/>
      <c r="K100" s="303"/>
      <c r="L100" s="303"/>
      <c r="M100" s="303"/>
      <c r="V100" s="3"/>
    </row>
    <row r="101" spans="2:22" s="2" customFormat="1" hidden="1" outlineLevel="1">
      <c r="B101" s="8" t="s">
        <v>16</v>
      </c>
      <c r="C101" s="202">
        <f t="shared" si="6"/>
        <v>0.9</v>
      </c>
      <c r="D101" s="202">
        <f>1-P389-AC373-I101-0.75</f>
        <v>9.9999999999999978E-2</v>
      </c>
      <c r="F101" s="203" t="s">
        <v>257</v>
      </c>
      <c r="G101" s="203" t="s">
        <v>252</v>
      </c>
      <c r="H101" s="303" t="s">
        <v>253</v>
      </c>
      <c r="I101" s="303"/>
      <c r="J101" s="303"/>
      <c r="K101" s="303"/>
      <c r="L101" s="303"/>
      <c r="M101" s="303"/>
      <c r="V101" s="3"/>
    </row>
    <row r="102" spans="2:22" s="2" customFormat="1" hidden="1" outlineLevel="1">
      <c r="B102" s="8" t="s">
        <v>17</v>
      </c>
      <c r="C102" s="202">
        <f t="shared" si="6"/>
        <v>9.9999999999999978E-2</v>
      </c>
      <c r="D102" s="202">
        <f>1-P390-AC374-I102</f>
        <v>0.9</v>
      </c>
      <c r="F102" s="203" t="s">
        <v>257</v>
      </c>
      <c r="G102" s="203" t="s">
        <v>255</v>
      </c>
      <c r="H102" s="303" t="s">
        <v>251</v>
      </c>
      <c r="I102" s="303"/>
      <c r="J102" s="303"/>
      <c r="K102" s="303"/>
      <c r="L102" s="303"/>
      <c r="M102" s="303"/>
      <c r="V102" s="3"/>
    </row>
    <row r="103" spans="2:22" s="2" customFormat="1" hidden="1" outlineLevel="1">
      <c r="B103" s="8" t="s">
        <v>18</v>
      </c>
      <c r="C103" s="202">
        <f t="shared" si="6"/>
        <v>0.85000000000000009</v>
      </c>
      <c r="D103" s="202">
        <f>1-P391-AC375</f>
        <v>0.14999999999999991</v>
      </c>
      <c r="F103" s="203" t="s">
        <v>251</v>
      </c>
      <c r="G103" s="203" t="s">
        <v>254</v>
      </c>
      <c r="H103" s="303" t="s">
        <v>251</v>
      </c>
      <c r="I103" s="303"/>
      <c r="J103" s="303"/>
      <c r="K103" s="303"/>
      <c r="L103" s="303"/>
      <c r="M103" s="303"/>
      <c r="V103" s="3"/>
    </row>
    <row r="104" spans="2:22" s="2" customFormat="1" hidden="1" outlineLevel="1">
      <c r="B104" s="8" t="s">
        <v>19</v>
      </c>
      <c r="C104" s="202">
        <f t="shared" si="6"/>
        <v>1.0000000000000009E-2</v>
      </c>
      <c r="D104" s="202">
        <f>1-P392-AC376</f>
        <v>0.99</v>
      </c>
      <c r="F104" s="203" t="s">
        <v>251</v>
      </c>
      <c r="G104" s="203" t="s">
        <v>255</v>
      </c>
      <c r="H104" s="303" t="s">
        <v>251</v>
      </c>
      <c r="I104" s="303"/>
      <c r="J104" s="303"/>
      <c r="K104" s="303"/>
      <c r="L104" s="303"/>
      <c r="M104" s="303"/>
      <c r="V104" s="3"/>
    </row>
    <row r="105" spans="2:22" s="2" customFormat="1" hidden="1" outlineLevel="1">
      <c r="B105" s="8" t="s">
        <v>20</v>
      </c>
      <c r="C105" s="202">
        <f t="shared" si="6"/>
        <v>0.64999999999999991</v>
      </c>
      <c r="D105" s="202">
        <f>1-P393-AC377-0.44</f>
        <v>0.35000000000000003</v>
      </c>
      <c r="F105" s="203" t="s">
        <v>251</v>
      </c>
      <c r="G105" s="203" t="s">
        <v>252</v>
      </c>
      <c r="H105" s="303" t="s">
        <v>258</v>
      </c>
      <c r="I105" s="303"/>
      <c r="J105" s="303"/>
      <c r="K105" s="303"/>
      <c r="L105" s="303"/>
      <c r="M105" s="303"/>
      <c r="V105" s="3"/>
    </row>
    <row r="106" spans="2:22" s="2" customFormat="1" hidden="1" outlineLevel="1">
      <c r="B106" s="8" t="s">
        <v>21</v>
      </c>
      <c r="C106" s="202">
        <f t="shared" si="6"/>
        <v>0.89999999999999991</v>
      </c>
      <c r="D106" s="202">
        <f>1-P394-AC378</f>
        <v>0.10000000000000003</v>
      </c>
      <c r="F106" s="203" t="s">
        <v>251</v>
      </c>
      <c r="G106" s="203" t="s">
        <v>252</v>
      </c>
      <c r="H106" s="303" t="s">
        <v>251</v>
      </c>
      <c r="I106" s="303"/>
      <c r="J106" s="303"/>
      <c r="K106" s="303"/>
      <c r="L106" s="303"/>
      <c r="M106" s="303"/>
      <c r="V106" s="3"/>
    </row>
    <row r="107" spans="2:22" s="2" customFormat="1" hidden="1" outlineLevel="1">
      <c r="B107" s="8" t="s">
        <v>22</v>
      </c>
      <c r="C107" s="202">
        <f t="shared" si="6"/>
        <v>0.90000000000000013</v>
      </c>
      <c r="D107" s="202">
        <f>1-P395-AC379-I107-0.05</f>
        <v>9.9999999999999908E-2</v>
      </c>
      <c r="F107" s="203" t="s">
        <v>253</v>
      </c>
      <c r="G107" s="203" t="s">
        <v>254</v>
      </c>
      <c r="H107" s="303" t="s">
        <v>253</v>
      </c>
      <c r="I107" s="303"/>
      <c r="J107" s="303"/>
      <c r="K107" s="303"/>
      <c r="L107" s="303"/>
      <c r="M107" s="303"/>
      <c r="V107" s="3"/>
    </row>
    <row r="108" spans="2:22" s="2" customFormat="1" hidden="1" outlineLevel="1">
      <c r="C108" s="6"/>
      <c r="V108" s="3"/>
    </row>
    <row r="109" spans="2:22" s="2" customFormat="1" hidden="1" outlineLevel="1">
      <c r="C109" s="6"/>
      <c r="L109" s="303" t="s">
        <v>259</v>
      </c>
      <c r="M109" s="303"/>
      <c r="V109" s="3"/>
    </row>
    <row r="110" spans="2:22" s="2" customFormat="1" hidden="1" outlineLevel="1">
      <c r="C110" s="6"/>
      <c r="F110" s="5" t="s">
        <v>260</v>
      </c>
      <c r="L110" s="199" t="s">
        <v>237</v>
      </c>
      <c r="M110" s="199" t="s">
        <v>261</v>
      </c>
      <c r="V110" s="3"/>
    </row>
    <row r="111" spans="2:22" s="2" customFormat="1" hidden="1" outlineLevel="1">
      <c r="C111" s="6"/>
      <c r="F111" s="2" t="s">
        <v>262</v>
      </c>
      <c r="L111" s="199" t="s">
        <v>263</v>
      </c>
      <c r="M111" s="199" t="s">
        <v>254</v>
      </c>
      <c r="V111" s="3"/>
    </row>
    <row r="112" spans="2:22" s="2" customFormat="1" hidden="1" outlineLevel="1">
      <c r="C112" s="6"/>
      <c r="F112" s="198" t="s">
        <v>264</v>
      </c>
      <c r="L112" s="199" t="s">
        <v>265</v>
      </c>
      <c r="M112" s="199" t="s">
        <v>252</v>
      </c>
      <c r="V112" s="3"/>
    </row>
    <row r="113" spans="1:22" s="2" customFormat="1" hidden="1" outlineLevel="1">
      <c r="C113" s="6"/>
      <c r="F113" s="198" t="s">
        <v>266</v>
      </c>
      <c r="L113" s="199" t="s">
        <v>267</v>
      </c>
      <c r="M113" s="199" t="s">
        <v>256</v>
      </c>
      <c r="V113" s="3"/>
    </row>
    <row r="114" spans="1:22" s="2" customFormat="1" hidden="1" outlineLevel="1">
      <c r="C114" s="6"/>
      <c r="F114" s="198" t="s">
        <v>268</v>
      </c>
      <c r="L114" s="199" t="s">
        <v>269</v>
      </c>
      <c r="M114" s="199" t="s">
        <v>255</v>
      </c>
      <c r="V114" s="3"/>
    </row>
    <row r="115" spans="1:22" s="2" customFormat="1" hidden="1" outlineLevel="1">
      <c r="F115" s="198" t="s">
        <v>270</v>
      </c>
      <c r="V115" s="3"/>
    </row>
    <row r="116" spans="1:22" s="2" customFormat="1" hidden="1" outlineLevel="1">
      <c r="F116" s="2" t="s">
        <v>271</v>
      </c>
      <c r="V116" s="3"/>
    </row>
    <row r="117" spans="1:22" s="2" customFormat="1" hidden="1" outlineLevel="1">
      <c r="V117" s="3"/>
    </row>
    <row r="118" spans="1:22" s="2" customFormat="1" hidden="1" outlineLevel="1">
      <c r="V118" s="3"/>
    </row>
    <row r="119" spans="1:22" hidden="1" outlineLevel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3"/>
    </row>
    <row r="120" spans="1:22" collapsed="1">
      <c r="A120" s="21" t="s">
        <v>272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6"/>
    </row>
    <row r="121" spans="1:22" hidden="1" outlineLevel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3"/>
    </row>
    <row r="122" spans="1:22" ht="16" hidden="1" outlineLevel="1" thickBot="1">
      <c r="A122" s="2"/>
      <c r="B122" s="5" t="s">
        <v>273</v>
      </c>
      <c r="C122" s="22" t="s">
        <v>274</v>
      </c>
      <c r="D122" s="2"/>
      <c r="E122" s="2"/>
      <c r="F122" s="2"/>
      <c r="G122" s="23"/>
      <c r="H122" s="23"/>
      <c r="I122" s="2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3"/>
    </row>
    <row r="123" spans="1:22" ht="16" hidden="1" outlineLevel="1" thickBot="1">
      <c r="A123" s="2"/>
      <c r="B123" s="5"/>
      <c r="C123" s="24">
        <v>1</v>
      </c>
      <c r="D123" s="25" t="s">
        <v>275</v>
      </c>
      <c r="E123" s="25"/>
      <c r="F123" s="25"/>
      <c r="G123" s="26">
        <v>5</v>
      </c>
      <c r="H123" s="26">
        <v>6</v>
      </c>
      <c r="I123" s="26">
        <v>7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3"/>
    </row>
    <row r="124" spans="1:22" hidden="1" outlineLevel="1">
      <c r="A124" s="2"/>
      <c r="B124" s="6"/>
      <c r="C124" s="27"/>
      <c r="D124" s="26">
        <v>2</v>
      </c>
      <c r="E124" s="26">
        <v>3</v>
      </c>
      <c r="F124" s="26">
        <v>4</v>
      </c>
      <c r="G124" s="28"/>
      <c r="H124" s="28"/>
      <c r="I124" s="28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3"/>
    </row>
    <row r="125" spans="1:22" hidden="1" outlineLevel="1">
      <c r="A125" s="2"/>
      <c r="B125" s="6"/>
      <c r="C125" s="27"/>
      <c r="D125" s="29"/>
      <c r="E125" s="29"/>
      <c r="F125" s="29"/>
      <c r="G125" s="28"/>
      <c r="H125" s="28"/>
      <c r="I125" s="28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3"/>
    </row>
    <row r="126" spans="1:22" ht="16" hidden="1" outlineLevel="1" thickBot="1">
      <c r="A126" s="2"/>
      <c r="B126" s="6" t="s">
        <v>276</v>
      </c>
      <c r="C126" s="30"/>
      <c r="D126" s="29"/>
      <c r="E126" s="29"/>
      <c r="F126" s="29"/>
      <c r="G126" s="28"/>
      <c r="H126" s="28"/>
      <c r="I126" s="28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3"/>
    </row>
    <row r="127" spans="1:22" ht="93" hidden="1" outlineLevel="1">
      <c r="A127" s="2"/>
      <c r="B127" s="31" t="s">
        <v>277</v>
      </c>
      <c r="C127" s="32" t="s">
        <v>278</v>
      </c>
      <c r="D127" s="32" t="s">
        <v>279</v>
      </c>
      <c r="E127" s="32" t="s">
        <v>280</v>
      </c>
      <c r="F127" s="32" t="s">
        <v>281</v>
      </c>
      <c r="G127" s="32" t="s">
        <v>282</v>
      </c>
      <c r="H127" s="32" t="s">
        <v>283</v>
      </c>
      <c r="I127" s="32" t="s">
        <v>284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3"/>
    </row>
    <row r="128" spans="1:22" hidden="1" outlineLevel="1">
      <c r="A128" s="2"/>
      <c r="B128" s="6" t="s">
        <v>188</v>
      </c>
      <c r="C128" s="33">
        <f>SUM(C138:C149)</f>
        <v>352.8125</v>
      </c>
      <c r="D128" s="34"/>
      <c r="E128" s="34"/>
      <c r="F128" s="34"/>
      <c r="G128" s="34"/>
      <c r="H128" s="34"/>
      <c r="I128" s="3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3"/>
    </row>
    <row r="129" spans="1:22" hidden="1" outlineLevel="1">
      <c r="A129" s="2"/>
      <c r="B129" s="6" t="s">
        <v>189</v>
      </c>
      <c r="C129" s="34"/>
      <c r="D129" s="33">
        <f>SUM(D138:D149)</f>
        <v>53.355250000000005</v>
      </c>
      <c r="E129" s="35"/>
      <c r="F129" s="35"/>
      <c r="G129" s="35"/>
      <c r="H129" s="34"/>
      <c r="I129" s="3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3"/>
    </row>
    <row r="130" spans="1:22" hidden="1" outlineLevel="1">
      <c r="A130" s="2"/>
      <c r="B130" s="6" t="s">
        <v>191</v>
      </c>
      <c r="C130" s="34"/>
      <c r="D130" s="35"/>
      <c r="E130" s="33">
        <f>SUM(E138:E149)</f>
        <v>4.7617250000000011</v>
      </c>
      <c r="F130" s="2"/>
      <c r="G130" s="34"/>
      <c r="H130" s="34"/>
      <c r="I130" s="3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3"/>
    </row>
    <row r="131" spans="1:22" hidden="1" outlineLevel="1">
      <c r="A131" s="2"/>
      <c r="B131" s="6" t="s">
        <v>233</v>
      </c>
      <c r="C131" s="34"/>
      <c r="D131" s="34"/>
      <c r="E131" s="34"/>
      <c r="F131" s="33">
        <f>SUM(F138:F149)</f>
        <v>865.43313499999999</v>
      </c>
      <c r="G131" s="34"/>
      <c r="H131" s="34"/>
      <c r="I131" s="3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3"/>
    </row>
    <row r="132" spans="1:22" hidden="1" outlineLevel="1">
      <c r="A132" s="2"/>
      <c r="B132" s="6" t="s">
        <v>193</v>
      </c>
      <c r="C132" s="34"/>
      <c r="D132" s="34"/>
      <c r="E132" s="34"/>
      <c r="F132" s="34"/>
      <c r="G132" s="33">
        <f>SUM(G138:G149)</f>
        <v>88.649999999999991</v>
      </c>
      <c r="H132" s="34"/>
      <c r="I132" s="3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3"/>
    </row>
    <row r="133" spans="1:22" hidden="1" outlineLevel="1">
      <c r="A133" s="2"/>
      <c r="B133" s="6" t="s">
        <v>194</v>
      </c>
      <c r="C133" s="34"/>
      <c r="D133" s="34"/>
      <c r="E133" s="34"/>
      <c r="F133" s="34"/>
      <c r="G133" s="34"/>
      <c r="H133" s="33">
        <f>SUM(H138:H149)</f>
        <v>0</v>
      </c>
      <c r="I133" s="3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3"/>
    </row>
    <row r="134" spans="1:22" ht="16" hidden="1" outlineLevel="1" thickBot="1">
      <c r="A134" s="2"/>
      <c r="B134" s="6" t="s">
        <v>285</v>
      </c>
      <c r="C134" s="36"/>
      <c r="D134" s="36"/>
      <c r="E134" s="36"/>
      <c r="F134" s="36"/>
      <c r="G134" s="36"/>
      <c r="H134" s="37"/>
      <c r="I134" s="38">
        <f>SUM(I138:I149)</f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3"/>
    </row>
    <row r="135" spans="1:22" hidden="1" outlineLevel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3"/>
    </row>
    <row r="136" spans="1:22" collapsed="1">
      <c r="A136" s="21" t="s">
        <v>286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6"/>
    </row>
    <row r="137" spans="1:22" ht="93.5" hidden="1" outlineLevel="1" thickBot="1">
      <c r="A137" t="s">
        <v>287</v>
      </c>
      <c r="B137" s="39" t="s">
        <v>288</v>
      </c>
      <c r="C137" s="32" t="s">
        <v>278</v>
      </c>
      <c r="D137" s="32" t="s">
        <v>279</v>
      </c>
      <c r="E137" s="32" t="s">
        <v>280</v>
      </c>
      <c r="F137" s="32" t="s">
        <v>281</v>
      </c>
      <c r="G137" s="32" t="s">
        <v>282</v>
      </c>
      <c r="H137" s="32" t="s">
        <v>283</v>
      </c>
      <c r="I137" s="32" t="s">
        <v>284</v>
      </c>
      <c r="J137" s="40" t="s">
        <v>289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3"/>
    </row>
    <row r="138" spans="1:22" hidden="1" outlineLevel="1">
      <c r="A138" s="42">
        <f t="shared" ref="A138:A149" si="7">IF(C18="x",D18,0)</f>
        <v>10</v>
      </c>
      <c r="B138" s="43" t="s">
        <v>6</v>
      </c>
      <c r="C138" s="44">
        <f t="shared" ref="C138:C149" si="8">A138*B217*E217</f>
        <v>7.6</v>
      </c>
      <c r="D138" s="44">
        <f t="shared" ref="D138:D149" si="9">A138*B217*D217*G217</f>
        <v>4.0000000000000001E-3</v>
      </c>
      <c r="E138" s="44">
        <f t="shared" ref="E138:E149" si="10">A138*B217*D217*F217*H217</f>
        <v>7.920000000000002E-2</v>
      </c>
      <c r="F138" s="44">
        <f t="shared" ref="F138:F149" si="11">A138*B217*D217*F217*I217</f>
        <v>0.31680000000000008</v>
      </c>
      <c r="G138" s="44">
        <f t="shared" ref="G138:G149" si="12">A138*C217</f>
        <v>1.9999999999999996</v>
      </c>
      <c r="H138" s="45"/>
      <c r="I138" s="45"/>
      <c r="J138" s="46">
        <f t="shared" ref="J138:J149" si="13">SUM(C138:I138)</f>
        <v>9.9999999999999982</v>
      </c>
      <c r="K138" s="128" t="str">
        <f t="shared" ref="K138:K149" si="14">IF(J138=A138,"Sama","Eroa")</f>
        <v>Sama</v>
      </c>
      <c r="L138" s="2" t="str">
        <f t="shared" ref="L138:L149" si="15">IF(K138="sama","",A138-J138)</f>
        <v/>
      </c>
      <c r="M138" s="2"/>
      <c r="N138" s="2"/>
      <c r="O138" s="2"/>
      <c r="P138" s="2"/>
      <c r="Q138" s="2"/>
      <c r="R138" s="2"/>
      <c r="S138" s="2"/>
      <c r="T138" s="2"/>
      <c r="U138" s="2"/>
      <c r="V138" s="3"/>
    </row>
    <row r="139" spans="1:22" hidden="1" outlineLevel="1">
      <c r="A139" s="42">
        <f t="shared" si="7"/>
        <v>125</v>
      </c>
      <c r="B139" s="43" t="s">
        <v>9</v>
      </c>
      <c r="C139" s="44">
        <f t="shared" si="8"/>
        <v>1.212500000000001</v>
      </c>
      <c r="D139" s="44">
        <f t="shared" si="9"/>
        <v>12.00375</v>
      </c>
      <c r="E139" s="44">
        <f t="shared" si="10"/>
        <v>0</v>
      </c>
      <c r="F139" s="44">
        <f t="shared" si="11"/>
        <v>108.03375</v>
      </c>
      <c r="G139" s="44">
        <f t="shared" si="12"/>
        <v>3.7500000000000036</v>
      </c>
      <c r="H139" s="45"/>
      <c r="I139" s="45"/>
      <c r="J139" s="46">
        <f t="shared" si="13"/>
        <v>125</v>
      </c>
      <c r="K139" s="128" t="str">
        <f t="shared" si="14"/>
        <v>Sama</v>
      </c>
      <c r="L139" s="2" t="str">
        <f t="shared" si="15"/>
        <v/>
      </c>
      <c r="M139" s="2"/>
      <c r="N139" s="2"/>
      <c r="O139" s="2"/>
      <c r="P139" s="2"/>
      <c r="Q139" s="2"/>
      <c r="R139" s="2"/>
      <c r="S139" s="2"/>
      <c r="T139" s="2"/>
      <c r="U139" s="2"/>
      <c r="V139" s="3"/>
    </row>
    <row r="140" spans="1:22" hidden="1" outlineLevel="1">
      <c r="A140" s="42">
        <f t="shared" si="7"/>
        <v>10</v>
      </c>
      <c r="B140" s="43" t="s">
        <v>11</v>
      </c>
      <c r="C140" s="44">
        <f t="shared" si="8"/>
        <v>6.6499999999999995</v>
      </c>
      <c r="D140" s="44">
        <f t="shared" si="9"/>
        <v>0.21000000000000005</v>
      </c>
      <c r="E140" s="44">
        <f t="shared" si="10"/>
        <v>1.4000000000000002E-3</v>
      </c>
      <c r="F140" s="44">
        <f t="shared" si="11"/>
        <v>0.1386</v>
      </c>
      <c r="G140" s="44">
        <f t="shared" si="12"/>
        <v>3.0000000000000004</v>
      </c>
      <c r="H140" s="45"/>
      <c r="I140" s="45"/>
      <c r="J140" s="46">
        <f t="shared" si="13"/>
        <v>10</v>
      </c>
      <c r="K140" s="128" t="str">
        <f t="shared" si="14"/>
        <v>Sama</v>
      </c>
      <c r="L140" s="2" t="str">
        <f t="shared" si="15"/>
        <v/>
      </c>
      <c r="M140" s="2"/>
      <c r="N140" s="2"/>
      <c r="O140" s="2"/>
      <c r="P140" s="2"/>
      <c r="Q140" s="2"/>
      <c r="R140" s="2"/>
      <c r="S140" s="2"/>
      <c r="T140" s="2"/>
      <c r="U140" s="2"/>
      <c r="V140" s="3"/>
    </row>
    <row r="141" spans="1:22" hidden="1" outlineLevel="1">
      <c r="A141" s="42">
        <f t="shared" si="7"/>
        <v>130</v>
      </c>
      <c r="B141" s="43" t="s">
        <v>13</v>
      </c>
      <c r="C141" s="44">
        <f t="shared" si="8"/>
        <v>0</v>
      </c>
      <c r="D141" s="44">
        <f t="shared" si="9"/>
        <v>0</v>
      </c>
      <c r="E141" s="44">
        <f t="shared" si="10"/>
        <v>0</v>
      </c>
      <c r="F141" s="44">
        <f t="shared" si="11"/>
        <v>126.11260999999999</v>
      </c>
      <c r="G141" s="44">
        <f t="shared" si="12"/>
        <v>3.9000000000000035</v>
      </c>
      <c r="H141" s="45"/>
      <c r="I141" s="45"/>
      <c r="J141" s="46">
        <f t="shared" si="13"/>
        <v>130.01261</v>
      </c>
      <c r="K141" s="128" t="str">
        <f t="shared" si="14"/>
        <v>Eroa</v>
      </c>
      <c r="L141" s="145">
        <f t="shared" si="15"/>
        <v>-1.2609999999995125E-2</v>
      </c>
      <c r="M141" s="2"/>
      <c r="N141" s="2"/>
      <c r="O141" s="2"/>
      <c r="P141" s="2"/>
      <c r="Q141" s="2"/>
      <c r="R141" s="2"/>
      <c r="S141" s="2"/>
      <c r="T141" s="2"/>
      <c r="U141" s="2"/>
      <c r="V141" s="3"/>
    </row>
    <row r="142" spans="1:22" hidden="1" outlineLevel="1">
      <c r="A142" s="42">
        <f t="shared" si="7"/>
        <v>0</v>
      </c>
      <c r="B142" s="43" t="s">
        <v>15</v>
      </c>
      <c r="C142" s="44">
        <f t="shared" si="8"/>
        <v>0</v>
      </c>
      <c r="D142" s="44">
        <f t="shared" si="9"/>
        <v>0</v>
      </c>
      <c r="E142" s="44">
        <f t="shared" si="10"/>
        <v>0</v>
      </c>
      <c r="F142" s="44">
        <f t="shared" si="11"/>
        <v>0</v>
      </c>
      <c r="G142" s="44">
        <f t="shared" si="12"/>
        <v>0</v>
      </c>
      <c r="H142" s="45"/>
      <c r="I142" s="45"/>
      <c r="J142" s="46">
        <f t="shared" si="13"/>
        <v>0</v>
      </c>
      <c r="K142" s="128" t="str">
        <f t="shared" si="14"/>
        <v>Sama</v>
      </c>
      <c r="L142" s="2" t="str">
        <f t="shared" si="15"/>
        <v/>
      </c>
      <c r="M142" s="2"/>
      <c r="N142" s="2"/>
      <c r="O142" s="2"/>
      <c r="P142" s="2"/>
      <c r="Q142" s="2"/>
      <c r="R142" s="2"/>
      <c r="S142" s="2"/>
      <c r="T142" s="2"/>
      <c r="U142" s="2"/>
      <c r="V142" s="3"/>
    </row>
    <row r="143" spans="1:22" hidden="1" outlineLevel="1">
      <c r="A143" s="42">
        <f t="shared" si="7"/>
        <v>30</v>
      </c>
      <c r="B143" s="43" t="s">
        <v>16</v>
      </c>
      <c r="C143" s="44">
        <f t="shared" si="8"/>
        <v>8.1000000000000014</v>
      </c>
      <c r="D143" s="44">
        <f t="shared" si="9"/>
        <v>0</v>
      </c>
      <c r="E143" s="44">
        <f t="shared" si="10"/>
        <v>0</v>
      </c>
      <c r="F143" s="44">
        <f t="shared" si="11"/>
        <v>18.899999999999999</v>
      </c>
      <c r="G143" s="44">
        <f t="shared" si="12"/>
        <v>2.9999999999999991</v>
      </c>
      <c r="H143" s="45"/>
      <c r="I143" s="45"/>
      <c r="J143" s="46">
        <f t="shared" si="13"/>
        <v>30</v>
      </c>
      <c r="K143" s="128" t="str">
        <f t="shared" si="14"/>
        <v>Sama</v>
      </c>
      <c r="L143" s="2" t="str">
        <f t="shared" si="15"/>
        <v/>
      </c>
      <c r="M143" s="2"/>
      <c r="N143" s="2"/>
      <c r="O143" s="2"/>
      <c r="P143" s="2"/>
      <c r="Q143" s="2"/>
      <c r="R143" s="2"/>
      <c r="S143" s="2"/>
      <c r="T143" s="2"/>
      <c r="U143" s="2"/>
      <c r="V143" s="3"/>
    </row>
    <row r="144" spans="1:22" hidden="1" outlineLevel="1">
      <c r="A144" s="42">
        <f t="shared" si="7"/>
        <v>0</v>
      </c>
      <c r="B144" s="43" t="s">
        <v>17</v>
      </c>
      <c r="C144" s="44">
        <f t="shared" si="8"/>
        <v>0</v>
      </c>
      <c r="D144" s="44">
        <f t="shared" si="9"/>
        <v>0</v>
      </c>
      <c r="E144" s="44">
        <f t="shared" si="10"/>
        <v>0</v>
      </c>
      <c r="F144" s="44">
        <f t="shared" si="11"/>
        <v>0</v>
      </c>
      <c r="G144" s="44">
        <f t="shared" si="12"/>
        <v>0</v>
      </c>
      <c r="H144" s="45"/>
      <c r="I144" s="45"/>
      <c r="J144" s="46">
        <f t="shared" si="13"/>
        <v>0</v>
      </c>
      <c r="K144" s="128" t="str">
        <f t="shared" si="14"/>
        <v>Sama</v>
      </c>
      <c r="L144" s="2" t="str">
        <f t="shared" si="15"/>
        <v/>
      </c>
      <c r="M144" s="2"/>
      <c r="N144" s="2"/>
      <c r="O144" s="2"/>
      <c r="P144" s="2"/>
      <c r="Q144" s="2"/>
      <c r="R144" s="2"/>
      <c r="S144" s="2"/>
      <c r="T144" s="2"/>
      <c r="U144" s="2"/>
      <c r="V144" s="3"/>
    </row>
    <row r="145" spans="1:22" hidden="1" outlineLevel="1">
      <c r="A145" s="42">
        <f t="shared" si="7"/>
        <v>0</v>
      </c>
      <c r="B145" s="43" t="s">
        <v>18</v>
      </c>
      <c r="C145" s="44">
        <f t="shared" si="8"/>
        <v>0</v>
      </c>
      <c r="D145" s="44">
        <f t="shared" si="9"/>
        <v>0</v>
      </c>
      <c r="E145" s="44">
        <f t="shared" si="10"/>
        <v>0</v>
      </c>
      <c r="F145" s="44">
        <f t="shared" si="11"/>
        <v>0</v>
      </c>
      <c r="G145" s="44">
        <f t="shared" si="12"/>
        <v>0</v>
      </c>
      <c r="H145" s="45"/>
      <c r="I145" s="45"/>
      <c r="J145" s="46">
        <f t="shared" si="13"/>
        <v>0</v>
      </c>
      <c r="K145" s="128" t="str">
        <f t="shared" si="14"/>
        <v>Sama</v>
      </c>
      <c r="L145" s="2" t="str">
        <f t="shared" si="15"/>
        <v/>
      </c>
      <c r="M145" s="2"/>
      <c r="N145" s="2"/>
      <c r="O145" s="2"/>
      <c r="P145" s="2"/>
      <c r="Q145" s="2"/>
      <c r="R145" s="2"/>
      <c r="S145" s="2"/>
      <c r="T145" s="2"/>
      <c r="U145" s="2"/>
      <c r="V145" s="3"/>
    </row>
    <row r="146" spans="1:22" hidden="1" outlineLevel="1">
      <c r="A146" s="42">
        <f t="shared" si="7"/>
        <v>0</v>
      </c>
      <c r="B146" s="43" t="s">
        <v>19</v>
      </c>
      <c r="C146" s="44">
        <f t="shared" si="8"/>
        <v>0</v>
      </c>
      <c r="D146" s="44">
        <f t="shared" si="9"/>
        <v>0</v>
      </c>
      <c r="E146" s="44">
        <f t="shared" si="10"/>
        <v>0</v>
      </c>
      <c r="F146" s="44">
        <f t="shared" si="11"/>
        <v>0</v>
      </c>
      <c r="G146" s="44">
        <f t="shared" si="12"/>
        <v>0</v>
      </c>
      <c r="H146" s="45"/>
      <c r="I146" s="45"/>
      <c r="J146" s="46">
        <f t="shared" si="13"/>
        <v>0</v>
      </c>
      <c r="K146" s="128" t="str">
        <f t="shared" si="14"/>
        <v>Sama</v>
      </c>
      <c r="L146" s="2" t="str">
        <f t="shared" si="15"/>
        <v/>
      </c>
      <c r="M146" s="2"/>
      <c r="N146" s="2"/>
      <c r="O146" s="2"/>
      <c r="P146" s="2"/>
      <c r="Q146" s="2"/>
      <c r="R146" s="2"/>
      <c r="S146" s="2"/>
      <c r="T146" s="2"/>
      <c r="U146" s="2"/>
      <c r="V146" s="3"/>
    </row>
    <row r="147" spans="1:22" hidden="1" outlineLevel="1">
      <c r="A147" s="42">
        <f t="shared" si="7"/>
        <v>730</v>
      </c>
      <c r="B147" s="43" t="s">
        <v>20</v>
      </c>
      <c r="C147" s="44">
        <f t="shared" si="8"/>
        <v>164.25</v>
      </c>
      <c r="D147" s="44">
        <f t="shared" si="9"/>
        <v>24.637500000000003</v>
      </c>
      <c r="E147" s="44">
        <f t="shared" si="10"/>
        <v>4.6811250000000006</v>
      </c>
      <c r="F147" s="44">
        <f t="shared" si="11"/>
        <v>463.431375</v>
      </c>
      <c r="G147" s="44">
        <f t="shared" si="12"/>
        <v>72.999999999999986</v>
      </c>
      <c r="H147" s="45"/>
      <c r="I147" s="45"/>
      <c r="J147" s="46">
        <f t="shared" si="13"/>
        <v>730</v>
      </c>
      <c r="K147" s="128" t="str">
        <f t="shared" si="14"/>
        <v>Sama</v>
      </c>
      <c r="L147" s="2" t="str">
        <f t="shared" si="15"/>
        <v/>
      </c>
      <c r="M147" s="2"/>
      <c r="N147" s="2"/>
      <c r="O147" s="2"/>
      <c r="P147" s="2"/>
      <c r="Q147" s="2"/>
      <c r="R147" s="2"/>
      <c r="S147" s="2"/>
      <c r="T147" s="2"/>
      <c r="U147" s="2"/>
      <c r="V147" s="3"/>
    </row>
    <row r="148" spans="1:22" hidden="1" outlineLevel="1">
      <c r="A148" s="42">
        <f t="shared" si="7"/>
        <v>0</v>
      </c>
      <c r="B148" s="43" t="s">
        <v>21</v>
      </c>
      <c r="C148" s="44">
        <f t="shared" si="8"/>
        <v>0</v>
      </c>
      <c r="D148" s="44">
        <f t="shared" si="9"/>
        <v>0</v>
      </c>
      <c r="E148" s="44">
        <f t="shared" si="10"/>
        <v>0</v>
      </c>
      <c r="F148" s="44">
        <f t="shared" si="11"/>
        <v>0</v>
      </c>
      <c r="G148" s="44">
        <f t="shared" si="12"/>
        <v>0</v>
      </c>
      <c r="H148" s="45"/>
      <c r="I148" s="45"/>
      <c r="J148" s="46">
        <f t="shared" si="13"/>
        <v>0</v>
      </c>
      <c r="K148" s="128" t="str">
        <f t="shared" si="14"/>
        <v>Sama</v>
      </c>
      <c r="L148" s="2" t="str">
        <f t="shared" si="15"/>
        <v/>
      </c>
      <c r="M148" s="2"/>
      <c r="N148" s="2"/>
      <c r="O148" s="2"/>
      <c r="P148" s="2"/>
      <c r="Q148" s="2"/>
      <c r="R148" s="2"/>
      <c r="S148" s="2"/>
      <c r="T148" s="2"/>
      <c r="U148" s="2"/>
      <c r="V148" s="3"/>
    </row>
    <row r="149" spans="1:22" ht="16" hidden="1" outlineLevel="1" thickBot="1">
      <c r="A149" s="42">
        <f t="shared" si="7"/>
        <v>330</v>
      </c>
      <c r="B149" s="43" t="s">
        <v>22</v>
      </c>
      <c r="C149" s="49">
        <f t="shared" si="8"/>
        <v>165</v>
      </c>
      <c r="D149" s="49">
        <f t="shared" si="9"/>
        <v>16.5</v>
      </c>
      <c r="E149" s="49">
        <f t="shared" si="10"/>
        <v>0</v>
      </c>
      <c r="F149" s="49">
        <f t="shared" si="11"/>
        <v>148.50000000000003</v>
      </c>
      <c r="G149" s="49">
        <f t="shared" si="12"/>
        <v>0</v>
      </c>
      <c r="H149" s="50"/>
      <c r="I149" s="50"/>
      <c r="J149" s="46">
        <f t="shared" si="13"/>
        <v>330</v>
      </c>
      <c r="K149" s="128" t="str">
        <f t="shared" si="14"/>
        <v>Sama</v>
      </c>
      <c r="L149" s="2" t="str">
        <f t="shared" si="15"/>
        <v/>
      </c>
      <c r="M149" s="2"/>
      <c r="N149" s="2"/>
      <c r="O149" s="2"/>
      <c r="P149" s="2"/>
      <c r="Q149" s="2"/>
      <c r="R149" s="2"/>
      <c r="S149" s="2"/>
      <c r="T149" s="2"/>
      <c r="U149" s="2"/>
      <c r="V149" s="3"/>
    </row>
    <row r="150" spans="1:22" hidden="1" outlineLevel="1">
      <c r="A150" s="42"/>
      <c r="B150" s="43"/>
      <c r="C150" s="51"/>
      <c r="D150" s="51"/>
      <c r="E150" s="51"/>
      <c r="F150" s="51"/>
      <c r="G150" s="51"/>
      <c r="H150" s="52"/>
      <c r="I150" s="52"/>
      <c r="J150" s="53"/>
      <c r="K150" s="12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3"/>
    </row>
    <row r="151" spans="1:22" hidden="1" outlineLevel="1">
      <c r="A151" s="42"/>
      <c r="B151" s="43"/>
      <c r="C151" s="51"/>
      <c r="D151" s="51"/>
      <c r="E151" s="51"/>
      <c r="F151" s="51"/>
      <c r="G151" s="51"/>
      <c r="H151" s="52"/>
      <c r="I151" s="52"/>
      <c r="J151" s="53"/>
      <c r="K151" s="12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3"/>
    </row>
    <row r="152" spans="1:22" collapsed="1">
      <c r="A152" s="21" t="s">
        <v>290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6"/>
    </row>
    <row r="153" spans="1:22" ht="124" hidden="1" outlineLevel="1">
      <c r="A153" t="s">
        <v>287</v>
      </c>
      <c r="B153" s="39" t="s">
        <v>288</v>
      </c>
      <c r="C153" s="32" t="s">
        <v>278</v>
      </c>
      <c r="D153" s="32" t="s">
        <v>291</v>
      </c>
      <c r="E153" s="32" t="s">
        <v>292</v>
      </c>
      <c r="F153" s="32" t="s">
        <v>293</v>
      </c>
      <c r="G153" s="32" t="s">
        <v>294</v>
      </c>
      <c r="H153" s="32" t="s">
        <v>283</v>
      </c>
      <c r="I153" s="32" t="s">
        <v>284</v>
      </c>
      <c r="J153" s="53"/>
      <c r="K153" s="12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3"/>
    </row>
    <row r="154" spans="1:22" hidden="1" outlineLevel="1">
      <c r="A154" s="42">
        <f>A138</f>
        <v>10</v>
      </c>
      <c r="B154" s="43" t="s">
        <v>6</v>
      </c>
      <c r="C154" s="44">
        <f t="shared" ref="C154:C165" si="16">A154*B217*E217*K217</f>
        <v>1.5199999999999996</v>
      </c>
      <c r="D154" s="44">
        <f t="shared" ref="D154:D165" si="17">A154*B217*D217*G217*K217</f>
        <v>7.9999999999999982E-4</v>
      </c>
      <c r="E154" s="44">
        <f t="shared" ref="E154:E165" si="18">A154*B217*D217*F217*H217*K217</f>
        <v>1.584E-2</v>
      </c>
      <c r="F154" s="44">
        <f t="shared" ref="F154:F165" si="19">A154*B217*D217*F217*I217*K217</f>
        <v>6.336E-2</v>
      </c>
      <c r="G154" s="44">
        <f t="shared" ref="G154:G165" si="20">A154*C217</f>
        <v>1.9999999999999996</v>
      </c>
      <c r="H154" s="45"/>
      <c r="I154" s="45"/>
      <c r="J154" s="53"/>
      <c r="K154" s="12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3"/>
    </row>
    <row r="155" spans="1:22" hidden="1" outlineLevel="1">
      <c r="A155" s="42">
        <f t="shared" ref="A155:A165" si="21">A139</f>
        <v>125</v>
      </c>
      <c r="B155" s="43" t="s">
        <v>9</v>
      </c>
      <c r="C155" s="44">
        <f t="shared" si="16"/>
        <v>6.0625000000000102E-2</v>
      </c>
      <c r="D155" s="44">
        <f t="shared" si="17"/>
        <v>0.60018750000000054</v>
      </c>
      <c r="E155" s="44">
        <f t="shared" si="18"/>
        <v>0</v>
      </c>
      <c r="F155" s="44">
        <f t="shared" si="19"/>
        <v>5.4016875000000049</v>
      </c>
      <c r="G155" s="44">
        <f t="shared" si="20"/>
        <v>3.7500000000000036</v>
      </c>
      <c r="H155" s="45"/>
      <c r="I155" s="45"/>
      <c r="J155" s="53"/>
      <c r="K155" s="12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3"/>
    </row>
    <row r="156" spans="1:22" hidden="1" outlineLevel="1">
      <c r="A156" s="42">
        <f t="shared" si="21"/>
        <v>10</v>
      </c>
      <c r="B156" s="43" t="s">
        <v>11</v>
      </c>
      <c r="C156" s="44">
        <f t="shared" si="16"/>
        <v>0.66499999999999981</v>
      </c>
      <c r="D156" s="44">
        <f t="shared" si="17"/>
        <v>2.1000000000000001E-2</v>
      </c>
      <c r="E156" s="44">
        <f t="shared" si="18"/>
        <v>1.3999999999999999E-4</v>
      </c>
      <c r="F156" s="44">
        <f t="shared" si="19"/>
        <v>1.3859999999999997E-2</v>
      </c>
      <c r="G156" s="44">
        <f t="shared" si="20"/>
        <v>3.0000000000000004</v>
      </c>
      <c r="H156" s="45"/>
      <c r="I156" s="45"/>
      <c r="J156" s="53"/>
      <c r="K156" s="12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3"/>
    </row>
    <row r="157" spans="1:22" hidden="1" outlineLevel="1">
      <c r="A157" s="42">
        <f t="shared" si="21"/>
        <v>130</v>
      </c>
      <c r="B157" s="43" t="s">
        <v>13</v>
      </c>
      <c r="C157" s="44">
        <f t="shared" si="16"/>
        <v>0</v>
      </c>
      <c r="D157" s="44">
        <f t="shared" si="17"/>
        <v>0</v>
      </c>
      <c r="E157" s="44">
        <f t="shared" si="18"/>
        <v>0</v>
      </c>
      <c r="F157" s="44">
        <f t="shared" si="19"/>
        <v>118.54585339999998</v>
      </c>
      <c r="G157" s="44">
        <f t="shared" si="20"/>
        <v>3.9000000000000035</v>
      </c>
      <c r="H157" s="45"/>
      <c r="I157" s="45"/>
      <c r="J157" s="53"/>
      <c r="K157" s="12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3"/>
    </row>
    <row r="158" spans="1:22" hidden="1" outlineLevel="1">
      <c r="A158" s="42">
        <f t="shared" si="21"/>
        <v>0</v>
      </c>
      <c r="B158" s="43" t="s">
        <v>15</v>
      </c>
      <c r="C158" s="44">
        <f t="shared" si="16"/>
        <v>0</v>
      </c>
      <c r="D158" s="44">
        <f t="shared" si="17"/>
        <v>0</v>
      </c>
      <c r="E158" s="44">
        <f t="shared" si="18"/>
        <v>0</v>
      </c>
      <c r="F158" s="44">
        <f t="shared" si="19"/>
        <v>0</v>
      </c>
      <c r="G158" s="44">
        <f t="shared" si="20"/>
        <v>0</v>
      </c>
      <c r="H158" s="45"/>
      <c r="I158" s="45"/>
      <c r="J158" s="53"/>
      <c r="K158" s="12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3"/>
    </row>
    <row r="159" spans="1:22" hidden="1" outlineLevel="1">
      <c r="A159" s="42">
        <f t="shared" si="21"/>
        <v>30</v>
      </c>
      <c r="B159" s="43" t="s">
        <v>16</v>
      </c>
      <c r="C159" s="44">
        <f t="shared" si="16"/>
        <v>4.0500000000000007</v>
      </c>
      <c r="D159" s="44">
        <f t="shared" si="17"/>
        <v>0</v>
      </c>
      <c r="E159" s="44">
        <f t="shared" si="18"/>
        <v>0</v>
      </c>
      <c r="F159" s="44">
        <f t="shared" si="19"/>
        <v>9.4499999999999993</v>
      </c>
      <c r="G159" s="44">
        <f t="shared" si="20"/>
        <v>2.9999999999999991</v>
      </c>
      <c r="H159" s="45"/>
      <c r="I159" s="45"/>
      <c r="J159" s="53"/>
      <c r="K159" s="12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3"/>
    </row>
    <row r="160" spans="1:22" hidden="1" outlineLevel="1">
      <c r="A160" s="42">
        <f t="shared" si="21"/>
        <v>0</v>
      </c>
      <c r="B160" s="43" t="s">
        <v>17</v>
      </c>
      <c r="C160" s="44">
        <f t="shared" si="16"/>
        <v>0</v>
      </c>
      <c r="D160" s="44">
        <f t="shared" si="17"/>
        <v>0</v>
      </c>
      <c r="E160" s="44">
        <f t="shared" si="18"/>
        <v>0</v>
      </c>
      <c r="F160" s="44">
        <f t="shared" si="19"/>
        <v>0</v>
      </c>
      <c r="G160" s="44">
        <f t="shared" si="20"/>
        <v>0</v>
      </c>
      <c r="H160" s="45"/>
      <c r="I160" s="45"/>
      <c r="J160" s="53"/>
      <c r="K160" s="12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3"/>
    </row>
    <row r="161" spans="1:22" hidden="1" outlineLevel="1">
      <c r="A161" s="42">
        <f t="shared" si="21"/>
        <v>0</v>
      </c>
      <c r="B161" s="43" t="s">
        <v>18</v>
      </c>
      <c r="C161" s="44">
        <f t="shared" si="16"/>
        <v>0</v>
      </c>
      <c r="D161" s="44">
        <f t="shared" si="17"/>
        <v>0</v>
      </c>
      <c r="E161" s="44">
        <f t="shared" si="18"/>
        <v>0</v>
      </c>
      <c r="F161" s="44">
        <f t="shared" si="19"/>
        <v>0</v>
      </c>
      <c r="G161" s="44">
        <f t="shared" si="20"/>
        <v>0</v>
      </c>
      <c r="H161" s="45"/>
      <c r="I161" s="45"/>
      <c r="J161" s="53"/>
      <c r="K161" s="12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3"/>
    </row>
    <row r="162" spans="1:22" hidden="1" outlineLevel="1">
      <c r="A162" s="42">
        <f t="shared" si="21"/>
        <v>0</v>
      </c>
      <c r="B162" s="43" t="s">
        <v>19</v>
      </c>
      <c r="C162" s="44">
        <f t="shared" si="16"/>
        <v>0</v>
      </c>
      <c r="D162" s="44">
        <f t="shared" si="17"/>
        <v>0</v>
      </c>
      <c r="E162" s="44">
        <f t="shared" si="18"/>
        <v>0</v>
      </c>
      <c r="F162" s="44">
        <f t="shared" si="19"/>
        <v>0</v>
      </c>
      <c r="G162" s="44">
        <f t="shared" si="20"/>
        <v>0</v>
      </c>
      <c r="H162" s="45"/>
      <c r="I162" s="45"/>
      <c r="J162" s="53"/>
      <c r="K162" s="12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3"/>
    </row>
    <row r="163" spans="1:22" hidden="1" outlineLevel="1">
      <c r="A163" s="42">
        <f t="shared" si="21"/>
        <v>730</v>
      </c>
      <c r="B163" s="43" t="s">
        <v>20</v>
      </c>
      <c r="C163" s="44">
        <f t="shared" si="16"/>
        <v>16.424999999999997</v>
      </c>
      <c r="D163" s="44">
        <f t="shared" si="17"/>
        <v>2.4637499999999997</v>
      </c>
      <c r="E163" s="44">
        <f t="shared" si="18"/>
        <v>0.46811249999999999</v>
      </c>
      <c r="F163" s="44">
        <f t="shared" si="19"/>
        <v>46.34313749999999</v>
      </c>
      <c r="G163" s="44">
        <f t="shared" si="20"/>
        <v>72.999999999999986</v>
      </c>
      <c r="H163" s="45"/>
      <c r="I163" s="45"/>
      <c r="J163" s="53"/>
      <c r="K163" s="12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3"/>
    </row>
    <row r="164" spans="1:22" hidden="1" outlineLevel="1">
      <c r="A164" s="42">
        <f t="shared" si="21"/>
        <v>0</v>
      </c>
      <c r="B164" s="43" t="s">
        <v>21</v>
      </c>
      <c r="C164" s="44">
        <f t="shared" si="16"/>
        <v>0</v>
      </c>
      <c r="D164" s="44">
        <f t="shared" si="17"/>
        <v>0</v>
      </c>
      <c r="E164" s="44">
        <f t="shared" si="18"/>
        <v>0</v>
      </c>
      <c r="F164" s="44">
        <f t="shared" si="19"/>
        <v>0</v>
      </c>
      <c r="G164" s="44">
        <f t="shared" si="20"/>
        <v>0</v>
      </c>
      <c r="H164" s="45"/>
      <c r="I164" s="45"/>
      <c r="J164" s="53"/>
      <c r="K164" s="12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3"/>
    </row>
    <row r="165" spans="1:22" ht="16" hidden="1" outlineLevel="1" thickBot="1">
      <c r="A165" s="42">
        <f t="shared" si="21"/>
        <v>330</v>
      </c>
      <c r="B165" s="43" t="s">
        <v>22</v>
      </c>
      <c r="C165" s="49">
        <f t="shared" si="16"/>
        <v>16.499999999999996</v>
      </c>
      <c r="D165" s="49">
        <f t="shared" si="17"/>
        <v>1.6499999999999997</v>
      </c>
      <c r="E165" s="49">
        <f t="shared" si="18"/>
        <v>0</v>
      </c>
      <c r="F165" s="49">
        <f t="shared" si="19"/>
        <v>14.85</v>
      </c>
      <c r="G165" s="49">
        <f t="shared" si="20"/>
        <v>0</v>
      </c>
      <c r="H165" s="54"/>
      <c r="I165" s="50"/>
      <c r="J165" s="53"/>
      <c r="K165" s="12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3"/>
    </row>
    <row r="166" spans="1:22" hidden="1" outlineLevel="1">
      <c r="A166" s="42"/>
      <c r="B166" s="43"/>
      <c r="C166" s="51"/>
      <c r="D166" s="51"/>
      <c r="E166" s="51"/>
      <c r="F166" s="51"/>
      <c r="G166" s="51"/>
      <c r="H166" s="52"/>
      <c r="I166" s="52"/>
      <c r="J166" s="53"/>
      <c r="K166" s="12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3"/>
    </row>
    <row r="167" spans="1:22" collapsed="1">
      <c r="A167" s="21" t="s">
        <v>295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6"/>
    </row>
    <row r="168" spans="1:22" ht="124" hidden="1" outlineLevel="1">
      <c r="A168" t="s">
        <v>287</v>
      </c>
      <c r="B168" s="39" t="s">
        <v>288</v>
      </c>
      <c r="C168" s="32" t="s">
        <v>278</v>
      </c>
      <c r="D168" s="32" t="s">
        <v>291</v>
      </c>
      <c r="E168" s="32" t="s">
        <v>292</v>
      </c>
      <c r="F168" s="32" t="s">
        <v>293</v>
      </c>
      <c r="G168" s="32" t="s">
        <v>294</v>
      </c>
      <c r="H168" s="32" t="s">
        <v>283</v>
      </c>
      <c r="I168" s="32" t="s">
        <v>284</v>
      </c>
      <c r="J168" s="53"/>
      <c r="K168" s="12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3"/>
    </row>
    <row r="169" spans="1:22" hidden="1" outlineLevel="1">
      <c r="A169" s="42">
        <f>A138</f>
        <v>10</v>
      </c>
      <c r="B169" s="43" t="s">
        <v>6</v>
      </c>
      <c r="C169" s="44">
        <f t="shared" ref="C169:C180" si="22">A169*B217*E217*J217</f>
        <v>6.08</v>
      </c>
      <c r="D169" s="44">
        <f t="shared" ref="D169:D180" si="23">A169*B217*D217*G217*J217</f>
        <v>3.2000000000000002E-3</v>
      </c>
      <c r="E169" s="44">
        <f t="shared" ref="E169:E180" si="24">A169*B217*D217*F217*H217*J217</f>
        <v>6.3360000000000014E-2</v>
      </c>
      <c r="F169" s="44">
        <f t="shared" ref="F169:F180" si="25">A169*B217*D217*F217*I217*J217</f>
        <v>0.25344000000000005</v>
      </c>
      <c r="G169" s="44"/>
      <c r="H169" s="45"/>
      <c r="I169" s="45"/>
      <c r="J169" s="53"/>
      <c r="K169" s="12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3"/>
    </row>
    <row r="170" spans="1:22" hidden="1" outlineLevel="1">
      <c r="A170" s="42">
        <f t="shared" ref="A170:A180" si="26">A139</f>
        <v>125</v>
      </c>
      <c r="B170" s="43" t="s">
        <v>9</v>
      </c>
      <c r="C170" s="44">
        <f t="shared" si="22"/>
        <v>1.1518750000000009</v>
      </c>
      <c r="D170" s="44">
        <f t="shared" si="23"/>
        <v>11.4035625</v>
      </c>
      <c r="E170" s="44">
        <f t="shared" si="24"/>
        <v>0</v>
      </c>
      <c r="F170" s="44">
        <f t="shared" si="25"/>
        <v>102.63206249999999</v>
      </c>
      <c r="G170" s="44"/>
      <c r="H170" s="45"/>
      <c r="I170" s="45"/>
      <c r="J170" s="53"/>
      <c r="K170" s="12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3"/>
    </row>
    <row r="171" spans="1:22" hidden="1" outlineLevel="1">
      <c r="A171" s="42">
        <f t="shared" si="26"/>
        <v>10</v>
      </c>
      <c r="B171" s="43" t="s">
        <v>11</v>
      </c>
      <c r="C171" s="44">
        <f t="shared" si="22"/>
        <v>5.9849999999999994</v>
      </c>
      <c r="D171" s="44">
        <f t="shared" si="23"/>
        <v>0.18900000000000006</v>
      </c>
      <c r="E171" s="44">
        <f t="shared" si="24"/>
        <v>1.2600000000000003E-3</v>
      </c>
      <c r="F171" s="44">
        <f t="shared" si="25"/>
        <v>0.12474</v>
      </c>
      <c r="G171" s="44"/>
      <c r="H171" s="45"/>
      <c r="I171" s="45"/>
      <c r="J171" s="53"/>
      <c r="K171" s="12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3"/>
    </row>
    <row r="172" spans="1:22" hidden="1" outlineLevel="1">
      <c r="A172" s="42">
        <f t="shared" si="26"/>
        <v>130</v>
      </c>
      <c r="B172" s="43" t="s">
        <v>13</v>
      </c>
      <c r="C172" s="44">
        <f t="shared" si="22"/>
        <v>0</v>
      </c>
      <c r="D172" s="44">
        <f t="shared" si="23"/>
        <v>0</v>
      </c>
      <c r="E172" s="44">
        <f t="shared" si="24"/>
        <v>0</v>
      </c>
      <c r="F172" s="44">
        <f t="shared" si="25"/>
        <v>7.5667565999999988</v>
      </c>
      <c r="G172" s="44"/>
      <c r="H172" s="45"/>
      <c r="I172" s="45"/>
      <c r="J172" s="53"/>
      <c r="K172" s="12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3"/>
    </row>
    <row r="173" spans="1:22" hidden="1" outlineLevel="1">
      <c r="A173" s="42">
        <f t="shared" si="26"/>
        <v>0</v>
      </c>
      <c r="B173" s="43" t="s">
        <v>15</v>
      </c>
      <c r="C173" s="44">
        <f t="shared" si="22"/>
        <v>0</v>
      </c>
      <c r="D173" s="44">
        <f t="shared" si="23"/>
        <v>0</v>
      </c>
      <c r="E173" s="44">
        <f t="shared" si="24"/>
        <v>0</v>
      </c>
      <c r="F173" s="44">
        <f t="shared" si="25"/>
        <v>0</v>
      </c>
      <c r="G173" s="44"/>
      <c r="H173" s="45"/>
      <c r="I173" s="45"/>
      <c r="J173" s="53"/>
      <c r="K173" s="12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3"/>
    </row>
    <row r="174" spans="1:22" hidden="1" outlineLevel="1">
      <c r="A174" s="42">
        <f t="shared" si="26"/>
        <v>30</v>
      </c>
      <c r="B174" s="43" t="s">
        <v>16</v>
      </c>
      <c r="C174" s="44">
        <f t="shared" si="22"/>
        <v>4.0500000000000007</v>
      </c>
      <c r="D174" s="44">
        <f t="shared" si="23"/>
        <v>0</v>
      </c>
      <c r="E174" s="44">
        <f t="shared" si="24"/>
        <v>0</v>
      </c>
      <c r="F174" s="44">
        <f t="shared" si="25"/>
        <v>9.4499999999999993</v>
      </c>
      <c r="G174" s="44"/>
      <c r="H174" s="45"/>
      <c r="I174" s="45"/>
      <c r="J174" s="53"/>
      <c r="K174" s="12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3"/>
    </row>
    <row r="175" spans="1:22" hidden="1" outlineLevel="1">
      <c r="A175" s="42">
        <f t="shared" si="26"/>
        <v>0</v>
      </c>
      <c r="B175" s="43" t="s">
        <v>17</v>
      </c>
      <c r="C175" s="44">
        <f t="shared" si="22"/>
        <v>0</v>
      </c>
      <c r="D175" s="44">
        <f t="shared" si="23"/>
        <v>0</v>
      </c>
      <c r="E175" s="44">
        <f t="shared" si="24"/>
        <v>0</v>
      </c>
      <c r="F175" s="44">
        <f t="shared" si="25"/>
        <v>0</v>
      </c>
      <c r="G175" s="44"/>
      <c r="H175" s="45"/>
      <c r="I175" s="45"/>
      <c r="J175" s="53"/>
      <c r="K175" s="12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3"/>
    </row>
    <row r="176" spans="1:22" hidden="1" outlineLevel="1">
      <c r="A176" s="42">
        <f t="shared" si="26"/>
        <v>0</v>
      </c>
      <c r="B176" s="43" t="s">
        <v>18</v>
      </c>
      <c r="C176" s="44">
        <f t="shared" si="22"/>
        <v>0</v>
      </c>
      <c r="D176" s="44">
        <f t="shared" si="23"/>
        <v>0</v>
      </c>
      <c r="E176" s="44">
        <f t="shared" si="24"/>
        <v>0</v>
      </c>
      <c r="F176" s="44">
        <f t="shared" si="25"/>
        <v>0</v>
      </c>
      <c r="G176" s="44"/>
      <c r="H176" s="45"/>
      <c r="I176" s="45"/>
      <c r="J176" s="53"/>
      <c r="K176" s="12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3"/>
    </row>
    <row r="177" spans="1:22" hidden="1" outlineLevel="1">
      <c r="A177" s="42">
        <f t="shared" si="26"/>
        <v>0</v>
      </c>
      <c r="B177" s="43" t="s">
        <v>19</v>
      </c>
      <c r="C177" s="44">
        <f t="shared" si="22"/>
        <v>0</v>
      </c>
      <c r="D177" s="44">
        <f t="shared" si="23"/>
        <v>0</v>
      </c>
      <c r="E177" s="44">
        <f t="shared" si="24"/>
        <v>0</v>
      </c>
      <c r="F177" s="44">
        <f t="shared" si="25"/>
        <v>0</v>
      </c>
      <c r="G177" s="44"/>
      <c r="H177" s="45"/>
      <c r="I177" s="45"/>
      <c r="J177" s="53"/>
      <c r="K177" s="12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3"/>
    </row>
    <row r="178" spans="1:22" hidden="1" outlineLevel="1">
      <c r="A178" s="42">
        <f t="shared" si="26"/>
        <v>730</v>
      </c>
      <c r="B178" s="43" t="s">
        <v>20</v>
      </c>
      <c r="C178" s="44">
        <f t="shared" si="22"/>
        <v>147.82500000000002</v>
      </c>
      <c r="D178" s="44">
        <f t="shared" si="23"/>
        <v>22.173750000000002</v>
      </c>
      <c r="E178" s="44">
        <f t="shared" si="24"/>
        <v>4.2130125000000005</v>
      </c>
      <c r="F178" s="44">
        <f t="shared" si="25"/>
        <v>417.08823749999999</v>
      </c>
      <c r="G178" s="44"/>
      <c r="H178" s="45"/>
      <c r="I178" s="45"/>
      <c r="J178" s="53"/>
      <c r="K178" s="12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3"/>
    </row>
    <row r="179" spans="1:22" hidden="1" outlineLevel="1">
      <c r="A179" s="42">
        <f t="shared" si="26"/>
        <v>0</v>
      </c>
      <c r="B179" s="43" t="s">
        <v>21</v>
      </c>
      <c r="C179" s="44">
        <f t="shared" si="22"/>
        <v>0</v>
      </c>
      <c r="D179" s="44">
        <f t="shared" si="23"/>
        <v>0</v>
      </c>
      <c r="E179" s="44">
        <f t="shared" si="24"/>
        <v>0</v>
      </c>
      <c r="F179" s="44">
        <f t="shared" si="25"/>
        <v>0</v>
      </c>
      <c r="G179" s="44"/>
      <c r="H179" s="45"/>
      <c r="I179" s="45"/>
      <c r="J179" s="53"/>
      <c r="K179" s="12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3"/>
    </row>
    <row r="180" spans="1:22" ht="16" hidden="1" outlineLevel="1" thickBot="1">
      <c r="A180" s="42">
        <f t="shared" si="26"/>
        <v>330</v>
      </c>
      <c r="B180" s="43" t="s">
        <v>22</v>
      </c>
      <c r="C180" s="49">
        <f t="shared" si="22"/>
        <v>148.5</v>
      </c>
      <c r="D180" s="49">
        <f t="shared" si="23"/>
        <v>14.85</v>
      </c>
      <c r="E180" s="49">
        <f t="shared" si="24"/>
        <v>0</v>
      </c>
      <c r="F180" s="49">
        <f t="shared" si="25"/>
        <v>133.65000000000003</v>
      </c>
      <c r="G180" s="49"/>
      <c r="H180" s="50"/>
      <c r="I180" s="50"/>
      <c r="J180" s="53"/>
      <c r="K180" s="12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3"/>
    </row>
    <row r="181" spans="1:22" hidden="1" outlineLevel="1">
      <c r="A181" s="42"/>
      <c r="B181" s="43"/>
      <c r="C181" s="51"/>
      <c r="D181" s="51"/>
      <c r="E181" s="51"/>
      <c r="F181" s="51"/>
      <c r="G181" s="51"/>
      <c r="H181" s="52"/>
      <c r="I181" s="52"/>
      <c r="J181" s="53"/>
      <c r="K181" s="12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3"/>
    </row>
    <row r="182" spans="1:22" collapsed="1">
      <c r="A182" s="21" t="s">
        <v>296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6"/>
    </row>
    <row r="183" spans="1:22" ht="16" hidden="1" outlineLevel="1" thickBot="1">
      <c r="A183" s="42"/>
      <c r="B183" s="43"/>
      <c r="C183" s="51"/>
      <c r="D183" s="51"/>
      <c r="E183" s="51"/>
      <c r="F183" s="51"/>
      <c r="G183" s="51"/>
      <c r="H183" s="52"/>
      <c r="I183" s="52"/>
      <c r="J183" s="53"/>
      <c r="K183" s="12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3"/>
    </row>
    <row r="184" spans="1:22" ht="93" hidden="1" outlineLevel="1">
      <c r="A184" s="42"/>
      <c r="B184" s="43"/>
      <c r="C184" s="32" t="s">
        <v>278</v>
      </c>
      <c r="D184" s="32" t="s">
        <v>279</v>
      </c>
      <c r="E184" s="32" t="s">
        <v>280</v>
      </c>
      <c r="F184" s="32" t="s">
        <v>281</v>
      </c>
      <c r="G184" s="32" t="s">
        <v>282</v>
      </c>
      <c r="H184" s="32" t="s">
        <v>283</v>
      </c>
      <c r="I184" s="32" t="s">
        <v>284</v>
      </c>
      <c r="J184" s="53"/>
      <c r="K184" s="12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3"/>
    </row>
    <row r="185" spans="1:22" hidden="1" outlineLevel="1">
      <c r="A185" s="42"/>
      <c r="B185" s="55" t="s">
        <v>6</v>
      </c>
      <c r="C185" s="51">
        <f t="shared" ref="C185:I196" si="27">IF($C18="x",C201,0)</f>
        <v>30.350584307178636</v>
      </c>
      <c r="D185" s="51">
        <f t="shared" si="27"/>
        <v>45</v>
      </c>
      <c r="E185" s="51">
        <f t="shared" si="27"/>
        <v>30.227272727272727</v>
      </c>
      <c r="F185" s="51">
        <f t="shared" si="27"/>
        <v>30.227272727272727</v>
      </c>
      <c r="G185" s="51">
        <f t="shared" si="27"/>
        <v>7.8125000000000009</v>
      </c>
      <c r="H185" s="51">
        <f t="shared" si="27"/>
        <v>5</v>
      </c>
      <c r="I185" s="51">
        <f t="shared" si="27"/>
        <v>0</v>
      </c>
      <c r="J185" s="53"/>
      <c r="K185" s="12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3"/>
    </row>
    <row r="186" spans="1:22" hidden="1" outlineLevel="1">
      <c r="A186" s="42"/>
      <c r="B186" s="55" t="s">
        <v>9</v>
      </c>
      <c r="C186" s="51">
        <f t="shared" si="27"/>
        <v>15.000000000000002</v>
      </c>
      <c r="D186" s="51">
        <f t="shared" si="27"/>
        <v>16.25</v>
      </c>
      <c r="E186" s="51">
        <f t="shared" si="27"/>
        <v>14.861111111111111</v>
      </c>
      <c r="F186" s="51">
        <f t="shared" si="27"/>
        <v>14.861111111111111</v>
      </c>
      <c r="G186" s="51">
        <f t="shared" si="27"/>
        <v>16.944444444444443</v>
      </c>
      <c r="H186" s="51">
        <f t="shared" si="27"/>
        <v>5</v>
      </c>
      <c r="I186" s="51">
        <f t="shared" si="27"/>
        <v>0</v>
      </c>
      <c r="J186" s="53"/>
      <c r="K186" s="12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3"/>
    </row>
    <row r="187" spans="1:22" hidden="1" outlineLevel="1">
      <c r="A187" s="42"/>
      <c r="B187" s="55" t="s">
        <v>11</v>
      </c>
      <c r="C187" s="51">
        <f t="shared" si="27"/>
        <v>90.125996015936238</v>
      </c>
      <c r="D187" s="51">
        <f t="shared" si="27"/>
        <v>94.166666666666657</v>
      </c>
      <c r="E187" s="51">
        <f t="shared" si="27"/>
        <v>84.124999999999986</v>
      </c>
      <c r="F187" s="51">
        <f t="shared" si="27"/>
        <v>84.124999999999986</v>
      </c>
      <c r="G187" s="51">
        <f t="shared" si="27"/>
        <v>11.25</v>
      </c>
      <c r="H187" s="51">
        <f t="shared" si="27"/>
        <v>5</v>
      </c>
      <c r="I187" s="51">
        <f t="shared" si="27"/>
        <v>0</v>
      </c>
      <c r="J187" s="53"/>
      <c r="K187" s="12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3"/>
    </row>
    <row r="188" spans="1:22" hidden="1" outlineLevel="1">
      <c r="A188" s="42"/>
      <c r="B188" s="55" t="s">
        <v>13</v>
      </c>
      <c r="C188" s="51">
        <f t="shared" si="27"/>
        <v>10.248725127487251</v>
      </c>
      <c r="D188" s="51">
        <f t="shared" si="27"/>
        <v>0</v>
      </c>
      <c r="E188" s="51">
        <f t="shared" si="27"/>
        <v>10.248725127487251</v>
      </c>
      <c r="F188" s="51">
        <f t="shared" si="27"/>
        <v>10.248725127487251</v>
      </c>
      <c r="G188" s="51">
        <f t="shared" si="27"/>
        <v>7.7009449989382048</v>
      </c>
      <c r="H188" s="51">
        <f t="shared" si="27"/>
        <v>5</v>
      </c>
      <c r="I188" s="51">
        <f t="shared" si="27"/>
        <v>0</v>
      </c>
      <c r="J188" s="53"/>
      <c r="K188" s="12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3"/>
    </row>
    <row r="189" spans="1:22" hidden="1" outlineLevel="1">
      <c r="A189" s="42"/>
      <c r="B189" s="55" t="s">
        <v>15</v>
      </c>
      <c r="C189" s="51">
        <f t="shared" si="27"/>
        <v>0</v>
      </c>
      <c r="D189" s="51">
        <f t="shared" si="27"/>
        <v>0</v>
      </c>
      <c r="E189" s="51">
        <f t="shared" si="27"/>
        <v>0</v>
      </c>
      <c r="F189" s="51">
        <f t="shared" si="27"/>
        <v>0</v>
      </c>
      <c r="G189" s="51">
        <f t="shared" si="27"/>
        <v>0</v>
      </c>
      <c r="H189" s="51">
        <f t="shared" si="27"/>
        <v>0</v>
      </c>
      <c r="I189" s="51">
        <f t="shared" si="27"/>
        <v>0</v>
      </c>
      <c r="J189" s="53"/>
      <c r="K189" s="12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3"/>
    </row>
    <row r="190" spans="1:22" hidden="1" outlineLevel="1">
      <c r="A190" s="42"/>
      <c r="B190" s="55" t="s">
        <v>16</v>
      </c>
      <c r="C190" s="51">
        <f t="shared" si="27"/>
        <v>21.75</v>
      </c>
      <c r="D190" s="51">
        <f t="shared" si="27"/>
        <v>0</v>
      </c>
      <c r="E190" s="51">
        <f t="shared" si="27"/>
        <v>21.75</v>
      </c>
      <c r="F190" s="51">
        <f t="shared" si="27"/>
        <v>21.75</v>
      </c>
      <c r="G190" s="51">
        <f t="shared" si="27"/>
        <v>20.714285714285715</v>
      </c>
      <c r="H190" s="51">
        <f t="shared" si="27"/>
        <v>5</v>
      </c>
      <c r="I190" s="51">
        <f t="shared" si="27"/>
        <v>0</v>
      </c>
      <c r="J190" s="53"/>
      <c r="K190" s="12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3"/>
    </row>
    <row r="191" spans="1:22" hidden="1" outlineLevel="1">
      <c r="A191" s="42"/>
      <c r="B191" s="55" t="s">
        <v>17</v>
      </c>
      <c r="C191" s="51">
        <f t="shared" si="27"/>
        <v>0</v>
      </c>
      <c r="D191" s="51">
        <f t="shared" si="27"/>
        <v>0</v>
      </c>
      <c r="E191" s="51">
        <f t="shared" si="27"/>
        <v>0</v>
      </c>
      <c r="F191" s="51">
        <f t="shared" si="27"/>
        <v>0</v>
      </c>
      <c r="G191" s="51">
        <f t="shared" si="27"/>
        <v>0</v>
      </c>
      <c r="H191" s="51">
        <f t="shared" si="27"/>
        <v>0</v>
      </c>
      <c r="I191" s="51">
        <f t="shared" si="27"/>
        <v>0</v>
      </c>
      <c r="J191" s="53"/>
      <c r="K191" s="12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3"/>
    </row>
    <row r="192" spans="1:22" hidden="1" outlineLevel="1">
      <c r="A192" s="42"/>
      <c r="B192" s="55" t="s">
        <v>18</v>
      </c>
      <c r="C192" s="51">
        <f t="shared" si="27"/>
        <v>0</v>
      </c>
      <c r="D192" s="51">
        <f t="shared" si="27"/>
        <v>0</v>
      </c>
      <c r="E192" s="51">
        <f t="shared" si="27"/>
        <v>0</v>
      </c>
      <c r="F192" s="51">
        <f t="shared" si="27"/>
        <v>0</v>
      </c>
      <c r="G192" s="51">
        <f t="shared" si="27"/>
        <v>0</v>
      </c>
      <c r="H192" s="51">
        <f t="shared" si="27"/>
        <v>0</v>
      </c>
      <c r="I192" s="51">
        <f t="shared" si="27"/>
        <v>0</v>
      </c>
      <c r="J192" s="53"/>
      <c r="K192" s="12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3"/>
    </row>
    <row r="193" spans="1:22" hidden="1" outlineLevel="1">
      <c r="A193" s="42"/>
      <c r="B193" s="55" t="s">
        <v>19</v>
      </c>
      <c r="C193" s="51">
        <f t="shared" si="27"/>
        <v>0</v>
      </c>
      <c r="D193" s="51">
        <f t="shared" si="27"/>
        <v>0</v>
      </c>
      <c r="E193" s="51">
        <f t="shared" si="27"/>
        <v>0</v>
      </c>
      <c r="F193" s="51">
        <f t="shared" si="27"/>
        <v>0</v>
      </c>
      <c r="G193" s="51">
        <f t="shared" si="27"/>
        <v>0</v>
      </c>
      <c r="H193" s="51">
        <f t="shared" si="27"/>
        <v>0</v>
      </c>
      <c r="I193" s="51">
        <f t="shared" si="27"/>
        <v>0</v>
      </c>
      <c r="J193" s="53"/>
      <c r="K193" s="12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3"/>
    </row>
    <row r="194" spans="1:22" hidden="1" outlineLevel="1">
      <c r="A194" s="42"/>
      <c r="B194" s="55" t="s">
        <v>20</v>
      </c>
      <c r="C194" s="51">
        <f t="shared" si="27"/>
        <v>33.635463100544818</v>
      </c>
      <c r="D194" s="51">
        <f t="shared" si="27"/>
        <v>62.999999999999993</v>
      </c>
      <c r="E194" s="51">
        <f t="shared" si="27"/>
        <v>32.105263157894733</v>
      </c>
      <c r="F194" s="51">
        <f t="shared" si="27"/>
        <v>32.105263157894733</v>
      </c>
      <c r="G194" s="51">
        <f t="shared" si="27"/>
        <v>14.375</v>
      </c>
      <c r="H194" s="51">
        <f t="shared" si="27"/>
        <v>5</v>
      </c>
      <c r="I194" s="51">
        <f t="shared" si="27"/>
        <v>0</v>
      </c>
      <c r="J194" s="53"/>
      <c r="K194" s="12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3"/>
    </row>
    <row r="195" spans="1:22" hidden="1" outlineLevel="1">
      <c r="A195" s="42"/>
      <c r="B195" s="55" t="s">
        <v>21</v>
      </c>
      <c r="C195" s="51">
        <f t="shared" si="27"/>
        <v>0</v>
      </c>
      <c r="D195" s="51">
        <f t="shared" si="27"/>
        <v>0</v>
      </c>
      <c r="E195" s="51">
        <f t="shared" si="27"/>
        <v>0</v>
      </c>
      <c r="F195" s="51">
        <f t="shared" si="27"/>
        <v>0</v>
      </c>
      <c r="G195" s="51">
        <f t="shared" si="27"/>
        <v>0</v>
      </c>
      <c r="H195" s="51">
        <f t="shared" si="27"/>
        <v>0</v>
      </c>
      <c r="I195" s="51">
        <f t="shared" si="27"/>
        <v>0</v>
      </c>
      <c r="J195" s="53"/>
      <c r="K195" s="12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3"/>
    </row>
    <row r="196" spans="1:22" hidden="1" outlineLevel="1">
      <c r="A196" s="42"/>
      <c r="B196" s="55" t="s">
        <v>22</v>
      </c>
      <c r="C196" s="51">
        <f t="shared" si="27"/>
        <v>14.124999999999996</v>
      </c>
      <c r="D196" s="51">
        <f t="shared" si="27"/>
        <v>45</v>
      </c>
      <c r="E196" s="51">
        <f t="shared" si="27"/>
        <v>10.694444444444443</v>
      </c>
      <c r="F196" s="51">
        <f t="shared" si="27"/>
        <v>10.694444444444443</v>
      </c>
      <c r="G196" s="51">
        <f t="shared" si="27"/>
        <v>10</v>
      </c>
      <c r="H196" s="51">
        <f t="shared" si="27"/>
        <v>5</v>
      </c>
      <c r="I196" s="51">
        <f t="shared" si="27"/>
        <v>0</v>
      </c>
      <c r="J196" s="53"/>
      <c r="K196" s="12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3"/>
    </row>
    <row r="197" spans="1:22" hidden="1" outlineLevel="1">
      <c r="A197" s="42"/>
      <c r="B197" s="43"/>
      <c r="C197" s="51"/>
      <c r="D197" s="51"/>
      <c r="E197" s="51"/>
      <c r="F197" s="51"/>
      <c r="G197" s="51"/>
      <c r="H197" s="52"/>
      <c r="I197" s="52"/>
      <c r="J197" s="53"/>
      <c r="K197" s="12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3"/>
    </row>
    <row r="198" spans="1:22" collapsed="1">
      <c r="A198" s="21" t="s">
        <v>297</v>
      </c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3"/>
    </row>
    <row r="199" spans="1:22" ht="93" hidden="1" outlineLevel="1">
      <c r="A199" s="39"/>
      <c r="B199" s="56" t="s">
        <v>298</v>
      </c>
      <c r="C199" s="32" t="s">
        <v>278</v>
      </c>
      <c r="D199" s="32" t="s">
        <v>279</v>
      </c>
      <c r="E199" s="32" t="s">
        <v>280</v>
      </c>
      <c r="F199" s="32" t="s">
        <v>281</v>
      </c>
      <c r="G199" s="32" t="s">
        <v>282</v>
      </c>
      <c r="H199" s="32" t="s">
        <v>283</v>
      </c>
      <c r="I199" s="32" t="s">
        <v>284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3"/>
    </row>
    <row r="200" spans="1:22" ht="108.5" hidden="1" outlineLevel="1">
      <c r="A200" s="39"/>
      <c r="B200" s="56" t="s">
        <v>299</v>
      </c>
      <c r="C200" s="57" t="s">
        <v>300</v>
      </c>
      <c r="D200" s="57" t="s">
        <v>301</v>
      </c>
      <c r="E200" s="57" t="s">
        <v>302</v>
      </c>
      <c r="F200" s="57" t="s">
        <v>302</v>
      </c>
      <c r="G200" s="57" t="s">
        <v>303</v>
      </c>
      <c r="H200" s="57" t="s">
        <v>304</v>
      </c>
      <c r="I200" s="57" t="s">
        <v>305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3"/>
    </row>
    <row r="201" spans="1:22" hidden="1" outlineLevel="1">
      <c r="B201" s="55" t="s">
        <v>6</v>
      </c>
      <c r="C201" s="58">
        <f>(D201*B217*G217+E201*B217*F217*H217+F201*B217*F217)/(B217*G217+B217*F217*H217+B217*F217)</f>
        <v>30.350584307178636</v>
      </c>
      <c r="D201" s="58">
        <f>SUMPRODUCT($O$363:$Z$363,O368:Z368)/SUM(O368:Z368)</f>
        <v>45</v>
      </c>
      <c r="E201" s="58">
        <f t="shared" ref="E201:E212" si="28">SUMPRODUCT($C$363:$N$363,C368:N368)/SUM(C368:N368)</f>
        <v>30.227272727272727</v>
      </c>
      <c r="F201" s="58">
        <f t="shared" ref="F201:F212" si="29">SUMPRODUCT($C$363:$N$363,C368:N368)/SUM(C368:N368)</f>
        <v>30.227272727272727</v>
      </c>
      <c r="G201" s="58">
        <f>SUMPRODUCT($C$363:$E$363,C368:E368)/SUM(C368:E368)</f>
        <v>7.8125000000000009</v>
      </c>
      <c r="H201" s="58">
        <v>5</v>
      </c>
      <c r="I201" s="5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3"/>
    </row>
    <row r="202" spans="1:22" hidden="1" outlineLevel="1">
      <c r="B202" s="55" t="s">
        <v>9</v>
      </c>
      <c r="C202" s="58">
        <f t="shared" ref="C202:C212" si="30">(D202*B218*G218+E202*B218*F218*H218+F202*B218*F218)/(B218*G218+B218*F218*H218+B218*F218)</f>
        <v>15.000000000000002</v>
      </c>
      <c r="D202" s="58">
        <f>SUMPRODUCT($O$363:$Z$363,O369:Z369)/SUM(O369:Z369)</f>
        <v>16.25</v>
      </c>
      <c r="E202" s="58">
        <f t="shared" si="28"/>
        <v>14.861111111111111</v>
      </c>
      <c r="F202" s="58">
        <f t="shared" si="29"/>
        <v>14.861111111111111</v>
      </c>
      <c r="G202" s="58">
        <f>SUMPRODUCT($C$363:$E$363,C369:E369)/SUM(C369:E369)</f>
        <v>16.944444444444443</v>
      </c>
      <c r="H202" s="58">
        <v>5</v>
      </c>
      <c r="I202" s="5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3"/>
    </row>
    <row r="203" spans="1:22" hidden="1" outlineLevel="1">
      <c r="B203" s="55" t="s">
        <v>11</v>
      </c>
      <c r="C203" s="58">
        <f t="shared" si="30"/>
        <v>90.125996015936238</v>
      </c>
      <c r="D203" s="58">
        <f>SUMPRODUCT($O$363:$Z$363,O370:Z370)/SUM(O370:Z370)</f>
        <v>94.166666666666657</v>
      </c>
      <c r="E203" s="58">
        <f t="shared" si="28"/>
        <v>84.124999999999986</v>
      </c>
      <c r="F203" s="58">
        <f t="shared" si="29"/>
        <v>84.124999999999986</v>
      </c>
      <c r="G203" s="58">
        <f>SUMPRODUCT($C$363:$E$363,C370:E370)/SUM(C370:E370)</f>
        <v>11.25</v>
      </c>
      <c r="H203" s="58">
        <v>5</v>
      </c>
      <c r="I203" s="5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3"/>
    </row>
    <row r="204" spans="1:22" hidden="1" outlineLevel="1">
      <c r="B204" s="55" t="s">
        <v>13</v>
      </c>
      <c r="C204" s="58">
        <f t="shared" si="30"/>
        <v>10.248725127487251</v>
      </c>
      <c r="D204" s="58">
        <v>0</v>
      </c>
      <c r="E204" s="58">
        <f t="shared" si="28"/>
        <v>10.248725127487251</v>
      </c>
      <c r="F204" s="58">
        <f t="shared" si="29"/>
        <v>10.248725127487251</v>
      </c>
      <c r="G204" s="58">
        <f>SUMPRODUCT($C$363:$E$363,C371:E371)/SUM(C371:E371)</f>
        <v>7.7009449989382048</v>
      </c>
      <c r="H204" s="58">
        <v>5</v>
      </c>
      <c r="I204" s="5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3"/>
    </row>
    <row r="205" spans="1:22" hidden="1" outlineLevel="1">
      <c r="B205" s="55" t="s">
        <v>15</v>
      </c>
      <c r="C205" s="58">
        <f t="shared" si="30"/>
        <v>58.95</v>
      </c>
      <c r="D205" s="58">
        <f>SUMPRODUCT($O$363:$Z$363,O372:Z372)/SUM(O372:Z372)</f>
        <v>90</v>
      </c>
      <c r="E205" s="58">
        <f t="shared" si="28"/>
        <v>55.112359550561798</v>
      </c>
      <c r="F205" s="58">
        <f t="shared" si="29"/>
        <v>55.112359550561798</v>
      </c>
      <c r="G205" s="58">
        <v>0</v>
      </c>
      <c r="H205" s="58">
        <v>5</v>
      </c>
      <c r="I205" s="5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3"/>
    </row>
    <row r="206" spans="1:22" hidden="1" outlineLevel="1">
      <c r="B206" s="55" t="s">
        <v>16</v>
      </c>
      <c r="C206" s="58">
        <f t="shared" si="30"/>
        <v>21.75</v>
      </c>
      <c r="D206" s="58">
        <v>0</v>
      </c>
      <c r="E206" s="58">
        <f t="shared" si="28"/>
        <v>21.75</v>
      </c>
      <c r="F206" s="58">
        <f t="shared" si="29"/>
        <v>21.75</v>
      </c>
      <c r="G206" s="58">
        <f>SUMPRODUCT($C$363:$E$363,C373:E373)/SUM(C373:E373)</f>
        <v>20.714285714285715</v>
      </c>
      <c r="H206" s="58">
        <v>5</v>
      </c>
      <c r="I206" s="5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3"/>
    </row>
    <row r="207" spans="1:22" hidden="1" outlineLevel="1">
      <c r="B207" s="55" t="s">
        <v>17</v>
      </c>
      <c r="C207" s="58">
        <f t="shared" si="30"/>
        <v>82</v>
      </c>
      <c r="D207" s="58">
        <v>0</v>
      </c>
      <c r="E207" s="58">
        <f t="shared" si="28"/>
        <v>82</v>
      </c>
      <c r="F207" s="58">
        <f t="shared" si="29"/>
        <v>82</v>
      </c>
      <c r="G207" s="58">
        <f>SUMPRODUCT($C$363:$E$363,C374:E374)/SUM(C374:E374)</f>
        <v>10</v>
      </c>
      <c r="H207" s="58">
        <v>5</v>
      </c>
      <c r="I207" s="5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3"/>
    </row>
    <row r="208" spans="1:22" hidden="1" outlineLevel="1">
      <c r="B208" s="55" t="s">
        <v>18</v>
      </c>
      <c r="C208" s="58">
        <f t="shared" si="30"/>
        <v>13.249999999999998</v>
      </c>
      <c r="D208" s="58">
        <v>0</v>
      </c>
      <c r="E208" s="58">
        <f t="shared" si="28"/>
        <v>13.25</v>
      </c>
      <c r="F208" s="58">
        <f t="shared" si="29"/>
        <v>13.25</v>
      </c>
      <c r="G208" s="58">
        <f>SUMPRODUCT($C$363:$E$363,C375:E375)/SUM(C375:E375)</f>
        <v>11.578947368421051</v>
      </c>
      <c r="H208" s="58">
        <v>5</v>
      </c>
      <c r="I208" s="5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3"/>
    </row>
    <row r="209" spans="1:22" hidden="1" outlineLevel="1">
      <c r="B209" s="55" t="s">
        <v>19</v>
      </c>
      <c r="C209" s="58">
        <f t="shared" si="30"/>
        <v>72.886005744280467</v>
      </c>
      <c r="D209" s="58">
        <f>SUMPRODUCT($O$363:$Z$363,O376:Z376)/SUM(O376:Z376)</f>
        <v>119.99999999999999</v>
      </c>
      <c r="E209" s="58">
        <f t="shared" si="28"/>
        <v>71.44329896907216</v>
      </c>
      <c r="F209" s="58">
        <f t="shared" si="29"/>
        <v>71.44329896907216</v>
      </c>
      <c r="G209" s="58">
        <v>0</v>
      </c>
      <c r="H209" s="58">
        <v>5</v>
      </c>
      <c r="I209" s="5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3"/>
    </row>
    <row r="210" spans="1:22" hidden="1" outlineLevel="1">
      <c r="B210" s="55" t="s">
        <v>20</v>
      </c>
      <c r="C210" s="58">
        <f t="shared" si="30"/>
        <v>33.635463100544818</v>
      </c>
      <c r="D210" s="58">
        <f>SUMPRODUCT($O$363:$Z$363,O377:Z377)/SUM(O377:Z377)</f>
        <v>62.999999999999993</v>
      </c>
      <c r="E210" s="58">
        <f t="shared" si="28"/>
        <v>32.105263157894733</v>
      </c>
      <c r="F210" s="58">
        <f t="shared" si="29"/>
        <v>32.105263157894733</v>
      </c>
      <c r="G210" s="58">
        <f>SUMPRODUCT($C$363:$E$363,C377:E377)/SUM(C377:E377)</f>
        <v>14.375</v>
      </c>
      <c r="H210" s="58">
        <v>5</v>
      </c>
      <c r="I210" s="5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3"/>
    </row>
    <row r="211" spans="1:22" hidden="1" outlineLevel="1">
      <c r="B211" s="55" t="s">
        <v>21</v>
      </c>
      <c r="C211" s="58">
        <f t="shared" si="30"/>
        <v>23.25</v>
      </c>
      <c r="D211" s="58">
        <v>0</v>
      </c>
      <c r="E211" s="58">
        <f t="shared" si="28"/>
        <v>23.25</v>
      </c>
      <c r="F211" s="58">
        <f t="shared" si="29"/>
        <v>23.25</v>
      </c>
      <c r="G211" s="58">
        <f>SUMPRODUCT($C$363:$E$363,C378:E378)/SUM(C378:E378)</f>
        <v>17.8125</v>
      </c>
      <c r="H211" s="58">
        <v>5</v>
      </c>
      <c r="I211" s="5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3"/>
    </row>
    <row r="212" spans="1:22" ht="16" hidden="1" outlineLevel="1" thickBot="1">
      <c r="B212" s="55" t="s">
        <v>22</v>
      </c>
      <c r="C212" s="59">
        <f t="shared" si="30"/>
        <v>14.124999999999996</v>
      </c>
      <c r="D212" s="59">
        <f>SUMPRODUCT($O$363:$Z$363,O379:Z379)/SUM(O379:Z379)</f>
        <v>45</v>
      </c>
      <c r="E212" s="59">
        <f t="shared" si="28"/>
        <v>10.694444444444443</v>
      </c>
      <c r="F212" s="59">
        <f t="shared" si="29"/>
        <v>10.694444444444443</v>
      </c>
      <c r="G212" s="59">
        <f>SUMPRODUCT($C$363:$E$363,C379:E379)/SUM(C379:E379)</f>
        <v>10</v>
      </c>
      <c r="H212" s="59">
        <v>5</v>
      </c>
      <c r="I212" s="59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3"/>
    </row>
    <row r="213" spans="1:22" hidden="1" outlineLevel="1">
      <c r="A213" s="55"/>
      <c r="B213" s="60"/>
      <c r="C213" s="17"/>
      <c r="D213" s="17"/>
      <c r="E213" s="17"/>
      <c r="F213" s="17"/>
      <c r="G213" s="17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3"/>
    </row>
    <row r="214" spans="1:22" collapsed="1">
      <c r="A214" s="21" t="s">
        <v>306</v>
      </c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6"/>
    </row>
    <row r="215" spans="1:22" ht="28.5" hidden="1" outlineLevel="1">
      <c r="B215" s="61" t="s">
        <v>307</v>
      </c>
      <c r="F215" t="s">
        <v>308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3"/>
    </row>
    <row r="216" spans="1:22" hidden="1" outlineLevel="1">
      <c r="B216" s="62" t="s">
        <v>309</v>
      </c>
      <c r="C216" s="63" t="s">
        <v>310</v>
      </c>
      <c r="D216" s="64" t="s">
        <v>311</v>
      </c>
      <c r="E216" s="64" t="s">
        <v>312</v>
      </c>
      <c r="F216" s="64" t="s">
        <v>313</v>
      </c>
      <c r="G216" s="63" t="s">
        <v>314</v>
      </c>
      <c r="H216" s="65" t="s">
        <v>191</v>
      </c>
      <c r="I216" s="63" t="s">
        <v>141</v>
      </c>
      <c r="J216" s="66" t="s">
        <v>315</v>
      </c>
      <c r="K216" s="64" t="s">
        <v>224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3"/>
    </row>
    <row r="217" spans="1:22" hidden="1" outlineLevel="1">
      <c r="A217" s="55" t="s">
        <v>6</v>
      </c>
      <c r="B217" s="67">
        <f>D333</f>
        <v>0.8</v>
      </c>
      <c r="C217" s="68">
        <f t="shared" ref="C217:C228" si="31">1-B217</f>
        <v>0.19999999999999996</v>
      </c>
      <c r="D217" s="17">
        <f>C349</f>
        <v>0.05</v>
      </c>
      <c r="E217" s="17">
        <f t="shared" ref="E217:E228" si="32">1-D217</f>
        <v>0.95</v>
      </c>
      <c r="F217" s="17">
        <f t="shared" ref="F217:F228" si="33">SUM(C368:N368)</f>
        <v>0.9900000000000001</v>
      </c>
      <c r="G217" s="68">
        <f t="shared" ref="G217:G228" si="34">SUM(O368:Z368)</f>
        <v>0.01</v>
      </c>
      <c r="H217" s="69">
        <f>F384</f>
        <v>0.2</v>
      </c>
      <c r="I217" s="68">
        <f t="shared" ref="I217:I228" si="35">1-H217</f>
        <v>0.8</v>
      </c>
      <c r="J217" s="69">
        <f>C416</f>
        <v>0.8</v>
      </c>
      <c r="K217" s="17">
        <f t="shared" ref="K217:K228" si="36">1-J217</f>
        <v>0.19999999999999996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3"/>
    </row>
    <row r="218" spans="1:22" hidden="1" outlineLevel="1">
      <c r="A218" s="55" t="s">
        <v>9</v>
      </c>
      <c r="B218" s="67">
        <f t="shared" ref="B218:B225" si="37">H334</f>
        <v>0.97</v>
      </c>
      <c r="C218" s="68">
        <f t="shared" si="31"/>
        <v>3.0000000000000027E-2</v>
      </c>
      <c r="D218" s="17">
        <f>G350</f>
        <v>0.99</v>
      </c>
      <c r="E218" s="17">
        <f t="shared" si="32"/>
        <v>1.0000000000000009E-2</v>
      </c>
      <c r="F218" s="17">
        <f t="shared" si="33"/>
        <v>0.9</v>
      </c>
      <c r="G218" s="68">
        <f t="shared" si="34"/>
        <v>0.1</v>
      </c>
      <c r="H218" s="69">
        <f>N385</f>
        <v>0</v>
      </c>
      <c r="I218" s="68">
        <f t="shared" si="35"/>
        <v>1</v>
      </c>
      <c r="J218" s="69">
        <f t="shared" ref="J218:J225" si="38">G417</f>
        <v>0.95</v>
      </c>
      <c r="K218" s="17">
        <f t="shared" si="36"/>
        <v>5.0000000000000044E-2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3"/>
    </row>
    <row r="219" spans="1:22" hidden="1" outlineLevel="1">
      <c r="A219" s="55" t="s">
        <v>11</v>
      </c>
      <c r="B219" s="67">
        <f t="shared" si="37"/>
        <v>0.7</v>
      </c>
      <c r="C219" s="68">
        <f t="shared" si="31"/>
        <v>0.30000000000000004</v>
      </c>
      <c r="D219" s="17">
        <f>G351</f>
        <v>0.05</v>
      </c>
      <c r="E219" s="17">
        <f t="shared" si="32"/>
        <v>0.95</v>
      </c>
      <c r="F219" s="17">
        <f t="shared" si="33"/>
        <v>0.4</v>
      </c>
      <c r="G219" s="68">
        <f t="shared" si="34"/>
        <v>0.60000000000000009</v>
      </c>
      <c r="H219" s="69">
        <f>N386</f>
        <v>0.01</v>
      </c>
      <c r="I219" s="68">
        <f t="shared" si="35"/>
        <v>0.99</v>
      </c>
      <c r="J219" s="69">
        <f t="shared" si="38"/>
        <v>0.9</v>
      </c>
      <c r="K219" s="17">
        <f t="shared" si="36"/>
        <v>9.9999999999999978E-2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3"/>
    </row>
    <row r="220" spans="1:22" hidden="1" outlineLevel="1">
      <c r="A220" s="55" t="s">
        <v>13</v>
      </c>
      <c r="B220" s="67">
        <f t="shared" si="37"/>
        <v>0.97</v>
      </c>
      <c r="C220" s="68">
        <f t="shared" si="31"/>
        <v>3.0000000000000027E-2</v>
      </c>
      <c r="D220" s="17">
        <f>G352</f>
        <v>1</v>
      </c>
      <c r="E220" s="17">
        <f t="shared" si="32"/>
        <v>0</v>
      </c>
      <c r="F220" s="17">
        <f t="shared" si="33"/>
        <v>1.0001</v>
      </c>
      <c r="G220" s="68">
        <f t="shared" si="34"/>
        <v>0</v>
      </c>
      <c r="H220" s="69">
        <f>F387</f>
        <v>0</v>
      </c>
      <c r="I220" s="68">
        <f t="shared" si="35"/>
        <v>1</v>
      </c>
      <c r="J220" s="69">
        <f t="shared" si="38"/>
        <v>0.06</v>
      </c>
      <c r="K220" s="17">
        <f t="shared" si="36"/>
        <v>0.94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3"/>
    </row>
    <row r="221" spans="1:22" hidden="1" outlineLevel="1">
      <c r="A221" s="55" t="s">
        <v>15</v>
      </c>
      <c r="B221" s="67">
        <f t="shared" si="37"/>
        <v>1</v>
      </c>
      <c r="C221" s="68">
        <f t="shared" si="31"/>
        <v>0</v>
      </c>
      <c r="D221" s="17">
        <v>0.5</v>
      </c>
      <c r="E221" s="17">
        <f t="shared" si="32"/>
        <v>0.5</v>
      </c>
      <c r="F221" s="17">
        <f t="shared" si="33"/>
        <v>0.8899999999999999</v>
      </c>
      <c r="G221" s="68">
        <f t="shared" si="34"/>
        <v>0.11</v>
      </c>
      <c r="H221" s="69">
        <f>N388</f>
        <v>0</v>
      </c>
      <c r="I221" s="68">
        <f t="shared" si="35"/>
        <v>1</v>
      </c>
      <c r="J221" s="69">
        <f t="shared" si="38"/>
        <v>0.95</v>
      </c>
      <c r="K221" s="17">
        <f t="shared" si="36"/>
        <v>5.0000000000000044E-2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3"/>
    </row>
    <row r="222" spans="1:22" hidden="1" outlineLevel="1">
      <c r="A222" s="55" t="s">
        <v>16</v>
      </c>
      <c r="B222" s="67">
        <f t="shared" si="37"/>
        <v>0.9</v>
      </c>
      <c r="C222" s="68">
        <f t="shared" si="31"/>
        <v>9.9999999999999978E-2</v>
      </c>
      <c r="D222" s="17">
        <f>G354</f>
        <v>0.7</v>
      </c>
      <c r="E222" s="17">
        <f t="shared" si="32"/>
        <v>0.30000000000000004</v>
      </c>
      <c r="F222" s="17">
        <f t="shared" si="33"/>
        <v>1</v>
      </c>
      <c r="G222" s="68">
        <f t="shared" si="34"/>
        <v>0</v>
      </c>
      <c r="H222" s="69">
        <f>N389</f>
        <v>0</v>
      </c>
      <c r="I222" s="68">
        <f t="shared" si="35"/>
        <v>1</v>
      </c>
      <c r="J222" s="69">
        <f t="shared" si="38"/>
        <v>0.5</v>
      </c>
      <c r="K222" s="17">
        <f t="shared" si="36"/>
        <v>0.5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3"/>
    </row>
    <row r="223" spans="1:22" hidden="1" outlineLevel="1">
      <c r="A223" s="55" t="s">
        <v>17</v>
      </c>
      <c r="B223" s="67">
        <f t="shared" si="37"/>
        <v>1</v>
      </c>
      <c r="C223" s="68">
        <f t="shared" si="31"/>
        <v>0</v>
      </c>
      <c r="D223" s="17">
        <f>G355</f>
        <v>1</v>
      </c>
      <c r="E223" s="17">
        <f t="shared" si="32"/>
        <v>0</v>
      </c>
      <c r="F223" s="17">
        <f t="shared" si="33"/>
        <v>1</v>
      </c>
      <c r="G223" s="68">
        <f t="shared" si="34"/>
        <v>0</v>
      </c>
      <c r="H223" s="69">
        <f>N390</f>
        <v>0</v>
      </c>
      <c r="I223" s="68">
        <f t="shared" si="35"/>
        <v>1</v>
      </c>
      <c r="J223" s="69">
        <f t="shared" si="38"/>
        <v>0.9</v>
      </c>
      <c r="K223" s="17">
        <f t="shared" si="36"/>
        <v>9.9999999999999978E-2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3"/>
    </row>
    <row r="224" spans="1:22" hidden="1" outlineLevel="1">
      <c r="A224" s="55" t="s">
        <v>18</v>
      </c>
      <c r="B224" s="67">
        <f t="shared" si="37"/>
        <v>0.95</v>
      </c>
      <c r="C224" s="68">
        <f t="shared" si="31"/>
        <v>5.0000000000000044E-2</v>
      </c>
      <c r="D224" s="17">
        <f>G356</f>
        <v>0.9</v>
      </c>
      <c r="E224" s="17">
        <f t="shared" si="32"/>
        <v>9.9999999999999978E-2</v>
      </c>
      <c r="F224" s="17">
        <f t="shared" si="33"/>
        <v>1</v>
      </c>
      <c r="G224" s="68">
        <f t="shared" si="34"/>
        <v>0</v>
      </c>
      <c r="H224" s="69">
        <f>N391</f>
        <v>0.05</v>
      </c>
      <c r="I224" s="68">
        <f t="shared" si="35"/>
        <v>0.95</v>
      </c>
      <c r="J224" s="69">
        <f t="shared" si="38"/>
        <v>0.8</v>
      </c>
      <c r="K224" s="17">
        <f t="shared" si="36"/>
        <v>0.19999999999999996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3"/>
    </row>
    <row r="225" spans="1:22" hidden="1" outlineLevel="1">
      <c r="A225" s="55" t="s">
        <v>19</v>
      </c>
      <c r="B225" s="67">
        <f t="shared" si="37"/>
        <v>1</v>
      </c>
      <c r="C225" s="68">
        <f t="shared" si="31"/>
        <v>0</v>
      </c>
      <c r="D225" s="17">
        <f>G357</f>
        <v>0.85</v>
      </c>
      <c r="E225" s="17">
        <f t="shared" si="32"/>
        <v>0.15000000000000002</v>
      </c>
      <c r="F225" s="17">
        <f t="shared" si="33"/>
        <v>0.97000000000000008</v>
      </c>
      <c r="G225" s="68">
        <f t="shared" si="34"/>
        <v>0.03</v>
      </c>
      <c r="H225" s="69">
        <f>N392</f>
        <v>0.01</v>
      </c>
      <c r="I225" s="68">
        <f t="shared" si="35"/>
        <v>0.99</v>
      </c>
      <c r="J225" s="69">
        <f t="shared" si="38"/>
        <v>0.95</v>
      </c>
      <c r="K225" s="17">
        <f t="shared" si="36"/>
        <v>5.0000000000000044E-2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3"/>
    </row>
    <row r="226" spans="1:22" hidden="1" outlineLevel="1">
      <c r="A226" s="55" t="s">
        <v>20</v>
      </c>
      <c r="B226" s="67">
        <f>F342</f>
        <v>0.9</v>
      </c>
      <c r="C226" s="68">
        <f t="shared" si="31"/>
        <v>9.9999999999999978E-2</v>
      </c>
      <c r="D226" s="17">
        <f>E358</f>
        <v>0.75</v>
      </c>
      <c r="E226" s="17">
        <f t="shared" si="32"/>
        <v>0.25</v>
      </c>
      <c r="F226" s="17">
        <f t="shared" si="33"/>
        <v>0.95000000000000007</v>
      </c>
      <c r="G226" s="68">
        <f t="shared" si="34"/>
        <v>0.05</v>
      </c>
      <c r="H226" s="69">
        <f>J393</f>
        <v>0.01</v>
      </c>
      <c r="I226" s="68">
        <f t="shared" si="35"/>
        <v>0.99</v>
      </c>
      <c r="J226" s="69">
        <f>E425</f>
        <v>0.9</v>
      </c>
      <c r="K226" s="17">
        <f t="shared" si="36"/>
        <v>9.9999999999999978E-2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3"/>
    </row>
    <row r="227" spans="1:22" hidden="1" outlineLevel="1">
      <c r="A227" s="55" t="s">
        <v>21</v>
      </c>
      <c r="B227" s="67">
        <f>F343</f>
        <v>1</v>
      </c>
      <c r="C227" s="68">
        <f t="shared" si="31"/>
        <v>0</v>
      </c>
      <c r="D227" s="17">
        <f>C359</f>
        <v>1</v>
      </c>
      <c r="E227" s="17">
        <f t="shared" si="32"/>
        <v>0</v>
      </c>
      <c r="F227" s="17">
        <f t="shared" si="33"/>
        <v>1</v>
      </c>
      <c r="G227" s="68">
        <f t="shared" si="34"/>
        <v>0</v>
      </c>
      <c r="H227" s="69">
        <f>F394</f>
        <v>0.6</v>
      </c>
      <c r="I227" s="68">
        <f t="shared" si="35"/>
        <v>0.4</v>
      </c>
      <c r="J227" s="69">
        <f>E426</f>
        <v>0.4</v>
      </c>
      <c r="K227" s="17">
        <f t="shared" si="36"/>
        <v>0.6</v>
      </c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3"/>
    </row>
    <row r="228" spans="1:22" hidden="1" outlineLevel="1">
      <c r="A228" s="55" t="s">
        <v>22</v>
      </c>
      <c r="B228" s="70">
        <f>H344</f>
        <v>1</v>
      </c>
      <c r="C228" s="71">
        <f t="shared" si="31"/>
        <v>0</v>
      </c>
      <c r="D228" s="72">
        <f>G360</f>
        <v>0.5</v>
      </c>
      <c r="E228" s="72">
        <f t="shared" si="32"/>
        <v>0.5</v>
      </c>
      <c r="F228" s="72">
        <f t="shared" si="33"/>
        <v>0.90000000000000013</v>
      </c>
      <c r="G228" s="71">
        <f t="shared" si="34"/>
        <v>0.1</v>
      </c>
      <c r="H228" s="73">
        <f>N395</f>
        <v>0</v>
      </c>
      <c r="I228" s="71">
        <f t="shared" si="35"/>
        <v>1</v>
      </c>
      <c r="J228" s="73">
        <f>G427</f>
        <v>0.9</v>
      </c>
      <c r="K228" s="72">
        <f t="shared" si="36"/>
        <v>9.9999999999999978E-2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3"/>
    </row>
    <row r="229" spans="1:22" hidden="1" outlineLevel="1">
      <c r="A229" s="55"/>
      <c r="B229" s="60"/>
      <c r="C229" s="17"/>
      <c r="D229" s="17"/>
      <c r="E229" s="17"/>
      <c r="F229" s="17"/>
      <c r="G229" s="17"/>
      <c r="H229" s="17"/>
      <c r="I229" s="17"/>
      <c r="J229" s="17"/>
      <c r="K229" s="17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3"/>
    </row>
    <row r="230" spans="1:22" collapsed="1">
      <c r="A230" s="74" t="s">
        <v>316</v>
      </c>
      <c r="B230" s="75"/>
      <c r="C230" s="76"/>
      <c r="D230" s="76"/>
      <c r="E230" s="76"/>
      <c r="F230" s="76"/>
      <c r="G230" s="76"/>
      <c r="H230" s="76"/>
      <c r="I230" s="76"/>
      <c r="J230" s="76"/>
      <c r="K230" s="76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6"/>
    </row>
    <row r="231" spans="1:22" hidden="1" outlineLevel="1">
      <c r="A231" s="55"/>
      <c r="B231" s="60"/>
      <c r="C231" s="17"/>
      <c r="D231" s="17"/>
      <c r="E231" s="17"/>
      <c r="F231" s="17"/>
      <c r="G231" s="17"/>
      <c r="H231" s="17"/>
      <c r="I231" s="17"/>
      <c r="J231" s="17"/>
      <c r="K231" s="17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3"/>
    </row>
    <row r="232" spans="1:22" hidden="1" outlineLevel="1">
      <c r="A232" s="55"/>
      <c r="B232" s="60"/>
      <c r="C232" s="17"/>
      <c r="D232" s="17"/>
      <c r="E232" s="17"/>
      <c r="F232" s="17"/>
      <c r="G232" s="17"/>
      <c r="H232" s="17"/>
      <c r="I232" s="17"/>
      <c r="J232" s="17"/>
      <c r="K232" s="68"/>
      <c r="V232"/>
    </row>
    <row r="233" spans="1:22" hidden="1" outlineLevel="1">
      <c r="A233" s="133"/>
      <c r="B233" s="133" t="s">
        <v>317</v>
      </c>
      <c r="C233" s="133" t="s">
        <v>215</v>
      </c>
      <c r="D233" s="133" t="s">
        <v>217</v>
      </c>
      <c r="E233" s="133" t="s">
        <v>219</v>
      </c>
      <c r="F233" s="133" t="s">
        <v>221</v>
      </c>
      <c r="G233" s="133" t="s">
        <v>223</v>
      </c>
      <c r="H233" s="133"/>
      <c r="I233" s="133"/>
      <c r="J233" s="133"/>
      <c r="K233" s="134"/>
      <c r="L233" s="133"/>
      <c r="M233" s="133"/>
      <c r="N233" s="133" t="s">
        <v>318</v>
      </c>
      <c r="O233" s="133"/>
      <c r="P233" s="133"/>
      <c r="Q233" s="133"/>
      <c r="R233" s="133"/>
      <c r="S233" s="133"/>
      <c r="T233" s="133"/>
      <c r="U233" s="133"/>
      <c r="V233"/>
    </row>
    <row r="234" spans="1:22" hidden="1" outlineLevel="1">
      <c r="B234" s="55" t="s">
        <v>6</v>
      </c>
      <c r="C234" s="135"/>
      <c r="D234" s="135"/>
      <c r="E234" s="135"/>
      <c r="F234" s="135"/>
      <c r="G234" s="135"/>
      <c r="K234" s="41"/>
      <c r="M234" s="55" t="s">
        <v>6</v>
      </c>
      <c r="N234" s="48">
        <f>M248+M262+M276+M290+M304</f>
        <v>40</v>
      </c>
      <c r="V234"/>
    </row>
    <row r="235" spans="1:22" hidden="1" outlineLevel="1">
      <c r="B235" s="55" t="s">
        <v>9</v>
      </c>
      <c r="C235" s="135"/>
      <c r="D235" s="135"/>
      <c r="E235" s="135"/>
      <c r="F235" s="135"/>
      <c r="G235" s="135"/>
      <c r="K235" s="41"/>
      <c r="M235" s="55" t="s">
        <v>9</v>
      </c>
      <c r="N235" s="48">
        <f t="shared" ref="N235:N245" si="39">M249+M263+M277+M291+M305</f>
        <v>35</v>
      </c>
      <c r="V235"/>
    </row>
    <row r="236" spans="1:22" hidden="1" outlineLevel="1">
      <c r="B236" s="55" t="s">
        <v>11</v>
      </c>
      <c r="C236" s="135"/>
      <c r="D236" s="135"/>
      <c r="E236" s="135"/>
      <c r="F236" s="135"/>
      <c r="G236" s="135"/>
      <c r="K236" s="41"/>
      <c r="M236" s="55" t="s">
        <v>11</v>
      </c>
      <c r="N236" s="48">
        <f t="shared" si="39"/>
        <v>37.5</v>
      </c>
      <c r="V236"/>
    </row>
    <row r="237" spans="1:22" hidden="1" outlineLevel="1">
      <c r="B237" s="55" t="s">
        <v>13</v>
      </c>
      <c r="C237" s="135"/>
      <c r="D237" s="135"/>
      <c r="E237" s="135"/>
      <c r="F237" s="135"/>
      <c r="G237" s="135"/>
      <c r="K237" s="41"/>
      <c r="M237" s="55" t="s">
        <v>13</v>
      </c>
      <c r="N237" s="48">
        <f t="shared" si="39"/>
        <v>32.5</v>
      </c>
      <c r="V237"/>
    </row>
    <row r="238" spans="1:22" hidden="1" outlineLevel="1">
      <c r="B238" s="55" t="s">
        <v>15</v>
      </c>
      <c r="C238" s="135"/>
      <c r="D238" s="135"/>
      <c r="E238" s="135"/>
      <c r="F238" s="135"/>
      <c r="G238" s="135"/>
      <c r="K238" s="41"/>
      <c r="M238" s="55" t="s">
        <v>15</v>
      </c>
      <c r="N238" s="48">
        <f t="shared" si="39"/>
        <v>55</v>
      </c>
      <c r="V238"/>
    </row>
    <row r="239" spans="1:22" hidden="1" outlineLevel="1">
      <c r="B239" s="55" t="s">
        <v>16</v>
      </c>
      <c r="C239" s="135"/>
      <c r="D239" s="135"/>
      <c r="E239" s="135"/>
      <c r="F239" s="135"/>
      <c r="G239" s="135"/>
      <c r="K239" s="41"/>
      <c r="M239" s="55" t="s">
        <v>16</v>
      </c>
      <c r="N239" s="48">
        <f t="shared" si="39"/>
        <v>49</v>
      </c>
      <c r="V239"/>
    </row>
    <row r="240" spans="1:22" hidden="1" outlineLevel="1">
      <c r="B240" s="55" t="s">
        <v>17</v>
      </c>
      <c r="C240" s="135"/>
      <c r="D240" s="135"/>
      <c r="E240" s="135"/>
      <c r="F240" s="135"/>
      <c r="G240" s="135"/>
      <c r="K240" s="41"/>
      <c r="M240" s="55" t="s">
        <v>17</v>
      </c>
      <c r="N240" s="48">
        <f t="shared" si="39"/>
        <v>50</v>
      </c>
      <c r="V240"/>
    </row>
    <row r="241" spans="2:22" hidden="1" outlineLevel="1">
      <c r="B241" s="55" t="s">
        <v>18</v>
      </c>
      <c r="C241" s="135"/>
      <c r="D241" s="135"/>
      <c r="E241" s="135"/>
      <c r="F241" s="135"/>
      <c r="G241" s="135"/>
      <c r="K241" s="41"/>
      <c r="M241" s="55" t="s">
        <v>18</v>
      </c>
      <c r="N241" s="48">
        <f t="shared" si="39"/>
        <v>50</v>
      </c>
      <c r="V241"/>
    </row>
    <row r="242" spans="2:22" hidden="1" outlineLevel="1">
      <c r="B242" s="55" t="s">
        <v>19</v>
      </c>
      <c r="C242" s="135"/>
      <c r="D242" s="135"/>
      <c r="E242" s="135"/>
      <c r="F242" s="135"/>
      <c r="G242" s="135"/>
      <c r="K242" s="41"/>
      <c r="M242" s="55" t="s">
        <v>19</v>
      </c>
      <c r="N242" s="48">
        <f t="shared" si="39"/>
        <v>47.5</v>
      </c>
      <c r="V242"/>
    </row>
    <row r="243" spans="2:22" hidden="1" outlineLevel="1">
      <c r="B243" s="55" t="s">
        <v>20</v>
      </c>
      <c r="C243" s="135"/>
      <c r="D243" s="135"/>
      <c r="E243" s="135"/>
      <c r="F243" s="135"/>
      <c r="G243" s="135"/>
      <c r="K243" s="41"/>
      <c r="M243" s="55" t="s">
        <v>20</v>
      </c>
      <c r="N243" s="48">
        <f>M257+M271+M285+M299+M313</f>
        <v>54</v>
      </c>
      <c r="V243"/>
    </row>
    <row r="244" spans="2:22" hidden="1" outlineLevel="1">
      <c r="B244" s="55" t="s">
        <v>21</v>
      </c>
      <c r="C244" s="135"/>
      <c r="D244" s="135"/>
      <c r="E244" s="135"/>
      <c r="F244" s="135"/>
      <c r="G244" s="135"/>
      <c r="K244" s="41"/>
      <c r="M244" s="55" t="s">
        <v>21</v>
      </c>
      <c r="N244" s="48">
        <f t="shared" si="39"/>
        <v>40</v>
      </c>
      <c r="V244"/>
    </row>
    <row r="245" spans="2:22" hidden="1" outlineLevel="1">
      <c r="B245" s="55" t="s">
        <v>22</v>
      </c>
      <c r="C245" s="135"/>
      <c r="D245" s="135"/>
      <c r="E245" s="135"/>
      <c r="F245" s="135"/>
      <c r="G245" s="135"/>
      <c r="K245" s="41"/>
      <c r="M245" s="55" t="s">
        <v>22</v>
      </c>
      <c r="N245" s="48">
        <f t="shared" si="39"/>
        <v>40</v>
      </c>
      <c r="V245"/>
    </row>
    <row r="246" spans="2:22" hidden="1" outlineLevel="1">
      <c r="K246" s="41"/>
      <c r="V246"/>
    </row>
    <row r="247" spans="2:22" hidden="1" outlineLevel="1">
      <c r="B247" s="133" t="s">
        <v>215</v>
      </c>
      <c r="C247" s="133" t="s">
        <v>206</v>
      </c>
      <c r="D247" s="133" t="s">
        <v>207</v>
      </c>
      <c r="E247" s="133" t="s">
        <v>208</v>
      </c>
      <c r="F247" s="133" t="s">
        <v>209</v>
      </c>
      <c r="G247" s="133" t="s">
        <v>210</v>
      </c>
      <c r="H247" s="133" t="s">
        <v>211</v>
      </c>
      <c r="I247" s="133" t="s">
        <v>212</v>
      </c>
      <c r="J247" s="133" t="s">
        <v>213</v>
      </c>
      <c r="K247" s="41"/>
      <c r="O247" t="s">
        <v>319</v>
      </c>
      <c r="Q247" t="s">
        <v>320</v>
      </c>
      <c r="R247" t="s">
        <v>321</v>
      </c>
      <c r="S247" t="s">
        <v>322</v>
      </c>
      <c r="V247"/>
    </row>
    <row r="248" spans="2:22" hidden="1" outlineLevel="1">
      <c r="B248" s="55" t="s">
        <v>6</v>
      </c>
      <c r="C248" s="218">
        <f t="shared" ref="C248:J249" si="40">$P248*$L248</f>
        <v>0.25</v>
      </c>
      <c r="D248" s="218">
        <f t="shared" si="40"/>
        <v>0.25</v>
      </c>
      <c r="E248" s="218">
        <f t="shared" si="40"/>
        <v>0.25</v>
      </c>
      <c r="F248" s="218">
        <f t="shared" si="40"/>
        <v>0.25</v>
      </c>
      <c r="G248" s="218">
        <f t="shared" si="40"/>
        <v>0.25</v>
      </c>
      <c r="H248" s="218">
        <f t="shared" si="40"/>
        <v>0.25</v>
      </c>
      <c r="I248" s="218">
        <f t="shared" si="40"/>
        <v>0.25</v>
      </c>
      <c r="J248" s="218">
        <f t="shared" si="40"/>
        <v>0.25</v>
      </c>
      <c r="K248" s="47">
        <f>SUM(C248:J248)</f>
        <v>2</v>
      </c>
      <c r="L248" s="140">
        <f>1/M248</f>
        <v>0.125</v>
      </c>
      <c r="M248">
        <v>8</v>
      </c>
      <c r="O248" s="55" t="s">
        <v>6</v>
      </c>
      <c r="P248" s="128">
        <f>$A$138*(M248/$N$234)</f>
        <v>2</v>
      </c>
      <c r="Q248" s="219">
        <f>$P248*$L248*2</f>
        <v>0.5</v>
      </c>
      <c r="R248" s="218">
        <f>$P248*$L248</f>
        <v>0.25</v>
      </c>
      <c r="S248" s="220">
        <f>$P248*$L248/2</f>
        <v>0.125</v>
      </c>
      <c r="V248"/>
    </row>
    <row r="249" spans="2:22" hidden="1" outlineLevel="1">
      <c r="B249" s="55" t="s">
        <v>9</v>
      </c>
      <c r="C249" s="136"/>
      <c r="D249" s="218">
        <f t="shared" si="40"/>
        <v>3.5714285714285712</v>
      </c>
      <c r="E249" s="218">
        <f t="shared" si="40"/>
        <v>3.5714285714285712</v>
      </c>
      <c r="F249" s="218">
        <f t="shared" si="40"/>
        <v>3.5714285714285712</v>
      </c>
      <c r="G249" s="218">
        <f t="shared" si="40"/>
        <v>3.5714285714285712</v>
      </c>
      <c r="H249" s="218">
        <f t="shared" si="40"/>
        <v>3.5714285714285712</v>
      </c>
      <c r="I249" s="218">
        <f t="shared" si="40"/>
        <v>3.5714285714285712</v>
      </c>
      <c r="J249" s="218">
        <f t="shared" si="40"/>
        <v>3.5714285714285712</v>
      </c>
      <c r="K249" s="47">
        <f t="shared" ref="K249:K259" si="41">SUM(C249:J249)</f>
        <v>24.999999999999993</v>
      </c>
      <c r="L249" s="140">
        <f t="shared" ref="L249:L312" si="42">1/M249</f>
        <v>0.14285714285714285</v>
      </c>
      <c r="M249">
        <v>7</v>
      </c>
      <c r="O249" s="55" t="s">
        <v>9</v>
      </c>
      <c r="P249" s="128">
        <f>$A$139*(M249/$N$235)</f>
        <v>25</v>
      </c>
      <c r="Q249" s="219">
        <f>$P249*$L249*2</f>
        <v>7.1428571428571423</v>
      </c>
      <c r="R249" s="218">
        <f t="shared" ref="R249:R259" si="43">$P249*$L249</f>
        <v>3.5714285714285712</v>
      </c>
      <c r="S249" s="220">
        <f t="shared" ref="S249:S259" si="44">$P249*$L249/2</f>
        <v>1.7857142857142856</v>
      </c>
      <c r="V249"/>
    </row>
    <row r="250" spans="2:22" hidden="1" outlineLevel="1">
      <c r="B250" s="55" t="s">
        <v>11</v>
      </c>
      <c r="C250" s="218">
        <f t="shared" ref="C250:I250" si="45">$P250*$L250</f>
        <v>0.26666666666666666</v>
      </c>
      <c r="D250" s="218">
        <f t="shared" si="45"/>
        <v>0.26666666666666666</v>
      </c>
      <c r="E250" s="218">
        <f t="shared" si="45"/>
        <v>0.26666666666666666</v>
      </c>
      <c r="F250" s="218">
        <f t="shared" si="45"/>
        <v>0.26666666666666666</v>
      </c>
      <c r="G250" s="218">
        <f t="shared" si="45"/>
        <v>0.26666666666666666</v>
      </c>
      <c r="H250" s="218">
        <f t="shared" si="45"/>
        <v>0.26666666666666666</v>
      </c>
      <c r="I250" s="218">
        <f t="shared" si="45"/>
        <v>0.26666666666666666</v>
      </c>
      <c r="J250" s="221">
        <f>L250/2*P250</f>
        <v>0.13333333333333333</v>
      </c>
      <c r="K250" s="47">
        <f t="shared" si="41"/>
        <v>1.9999999999999998</v>
      </c>
      <c r="L250" s="140">
        <f t="shared" si="42"/>
        <v>0.13333333333333333</v>
      </c>
      <c r="M250">
        <v>7.5</v>
      </c>
      <c r="O250" s="55" t="s">
        <v>11</v>
      </c>
      <c r="P250" s="128">
        <f>$A$140*(M250/$N$236)</f>
        <v>2</v>
      </c>
      <c r="Q250" s="219">
        <f t="shared" ref="Q250:Q259" si="46">$P250*$L250*2</f>
        <v>0.53333333333333333</v>
      </c>
      <c r="R250" s="218">
        <f t="shared" si="43"/>
        <v>0.26666666666666666</v>
      </c>
      <c r="S250" s="220">
        <f t="shared" si="44"/>
        <v>0.13333333333333333</v>
      </c>
      <c r="V250"/>
    </row>
    <row r="251" spans="2:22" hidden="1" outlineLevel="1">
      <c r="B251" s="55" t="s">
        <v>13</v>
      </c>
      <c r="C251" s="136"/>
      <c r="D251" s="221">
        <f>L251/2*P251</f>
        <v>2</v>
      </c>
      <c r="E251" s="221">
        <f>L251/2*P251</f>
        <v>2</v>
      </c>
      <c r="F251" s="221">
        <f>L251/2*P251</f>
        <v>2</v>
      </c>
      <c r="G251" s="222">
        <f>L251*P251</f>
        <v>4</v>
      </c>
      <c r="H251" s="223">
        <f>L251*2*P251</f>
        <v>8</v>
      </c>
      <c r="I251" s="223">
        <f>L251*2*P251</f>
        <v>8</v>
      </c>
      <c r="J251" s="136"/>
      <c r="K251" s="47">
        <f t="shared" si="41"/>
        <v>26</v>
      </c>
      <c r="L251" s="140">
        <f t="shared" si="42"/>
        <v>0.15384615384615385</v>
      </c>
      <c r="M251">
        <v>6.5</v>
      </c>
      <c r="O251" s="55" t="s">
        <v>13</v>
      </c>
      <c r="P251" s="128">
        <f>$A$141*(M251/$N$237)</f>
        <v>26</v>
      </c>
      <c r="Q251" s="219">
        <f t="shared" si="46"/>
        <v>8</v>
      </c>
      <c r="R251" s="218">
        <f t="shared" si="43"/>
        <v>4</v>
      </c>
      <c r="S251" s="220">
        <f t="shared" si="44"/>
        <v>2</v>
      </c>
      <c r="V251"/>
    </row>
    <row r="252" spans="2:22" hidden="1" outlineLevel="1">
      <c r="B252" s="55" t="s">
        <v>15</v>
      </c>
      <c r="C252" s="219">
        <f t="shared" ref="C252:F253" si="47">$P252*$L252*2</f>
        <v>0</v>
      </c>
      <c r="D252" s="219">
        <f t="shared" si="47"/>
        <v>0</v>
      </c>
      <c r="E252" s="218">
        <f t="shared" ref="E252:F252" si="48">$P252*$L252</f>
        <v>0</v>
      </c>
      <c r="F252" s="218">
        <f t="shared" si="48"/>
        <v>0</v>
      </c>
      <c r="G252" s="219">
        <f t="shared" ref="G252:H252" si="49">$P252*$L252*2</f>
        <v>0</v>
      </c>
      <c r="H252" s="219">
        <f t="shared" si="49"/>
        <v>0</v>
      </c>
      <c r="I252" s="220">
        <f t="shared" ref="I252:J252" si="50">$P252*$L252/2</f>
        <v>0</v>
      </c>
      <c r="J252" s="220">
        <f t="shared" si="50"/>
        <v>0</v>
      </c>
      <c r="K252" s="47">
        <f t="shared" si="41"/>
        <v>0</v>
      </c>
      <c r="L252" s="140">
        <f t="shared" si="42"/>
        <v>9.0909090909090912E-2</v>
      </c>
      <c r="M252">
        <v>11</v>
      </c>
      <c r="O252" s="55" t="s">
        <v>15</v>
      </c>
      <c r="P252" s="128">
        <f>$A$142*(M252/$N$238)</f>
        <v>0</v>
      </c>
      <c r="Q252" s="219">
        <f t="shared" si="46"/>
        <v>0</v>
      </c>
      <c r="R252" s="218">
        <f t="shared" si="43"/>
        <v>0</v>
      </c>
      <c r="S252" s="220">
        <f t="shared" si="44"/>
        <v>0</v>
      </c>
      <c r="V252"/>
    </row>
    <row r="253" spans="2:22" hidden="1" outlineLevel="1">
      <c r="B253" s="55" t="s">
        <v>16</v>
      </c>
      <c r="C253" s="136"/>
      <c r="D253" s="219">
        <f t="shared" si="47"/>
        <v>1.2244897959183674</v>
      </c>
      <c r="E253" s="219">
        <f t="shared" si="47"/>
        <v>1.2244897959183674</v>
      </c>
      <c r="F253" s="219">
        <f t="shared" si="47"/>
        <v>1.2244897959183674</v>
      </c>
      <c r="G253" s="218">
        <f t="shared" ref="G253:H253" si="51">$P253*$L253</f>
        <v>0.61224489795918369</v>
      </c>
      <c r="H253" s="218">
        <f t="shared" si="51"/>
        <v>0.61224489795918369</v>
      </c>
      <c r="I253" s="219">
        <f t="shared" ref="I253" si="52">$P253*$L253*2</f>
        <v>1.2244897959183674</v>
      </c>
      <c r="J253" s="218">
        <f t="shared" ref="J253" si="53">$P253*$L253</f>
        <v>0.61224489795918369</v>
      </c>
      <c r="K253" s="47">
        <f t="shared" si="41"/>
        <v>6.7346938775510212</v>
      </c>
      <c r="L253" s="140">
        <f t="shared" si="42"/>
        <v>9.0909090909090912E-2</v>
      </c>
      <c r="M253">
        <v>11</v>
      </c>
      <c r="O253" s="55" t="s">
        <v>16</v>
      </c>
      <c r="P253" s="128">
        <f>$A$143*(M253/$N$239)</f>
        <v>6.7346938775510203</v>
      </c>
      <c r="Q253" s="219">
        <f t="shared" si="46"/>
        <v>1.2244897959183674</v>
      </c>
      <c r="R253" s="218">
        <f t="shared" si="43"/>
        <v>0.61224489795918369</v>
      </c>
      <c r="S253" s="220">
        <f t="shared" si="44"/>
        <v>0.30612244897959184</v>
      </c>
      <c r="V253"/>
    </row>
    <row r="254" spans="2:22" hidden="1" outlineLevel="1">
      <c r="B254" s="55" t="s">
        <v>17</v>
      </c>
      <c r="C254" s="224">
        <f>$L$422*$P$422/2</f>
        <v>0</v>
      </c>
      <c r="D254" s="135">
        <f>$L$422*$P$422</f>
        <v>0</v>
      </c>
      <c r="E254" s="139">
        <f>$L$422*$P$422*2</f>
        <v>0</v>
      </c>
      <c r="F254" s="135">
        <f>$L$422*$P$422</f>
        <v>0</v>
      </c>
      <c r="G254" s="135">
        <f>$L$422*$P$422</f>
        <v>0</v>
      </c>
      <c r="H254" s="139">
        <f>$L$422*$P$422*2</f>
        <v>0</v>
      </c>
      <c r="I254" s="139">
        <f>$L$422*$P$422*2</f>
        <v>0</v>
      </c>
      <c r="J254" s="224">
        <f>$L$422*$P$422/2</f>
        <v>0</v>
      </c>
      <c r="K254" s="47">
        <f t="shared" si="41"/>
        <v>0</v>
      </c>
      <c r="L254" s="140">
        <f t="shared" si="42"/>
        <v>0.1</v>
      </c>
      <c r="M254">
        <v>10</v>
      </c>
      <c r="O254" s="55" t="s">
        <v>17</v>
      </c>
      <c r="P254" s="128">
        <f>$A$144*(M254/$N$240)</f>
        <v>0</v>
      </c>
      <c r="Q254" s="219">
        <f t="shared" si="46"/>
        <v>0</v>
      </c>
      <c r="R254" s="218">
        <f t="shared" si="43"/>
        <v>0</v>
      </c>
      <c r="S254" s="220">
        <f t="shared" si="44"/>
        <v>0</v>
      </c>
      <c r="V254"/>
    </row>
    <row r="255" spans="2:22" hidden="1" outlineLevel="1">
      <c r="B255" s="55" t="s">
        <v>18</v>
      </c>
      <c r="C255" s="225">
        <f>Q255</f>
        <v>0</v>
      </c>
      <c r="D255" s="220">
        <f>$P255*$L255/2</f>
        <v>0</v>
      </c>
      <c r="E255" s="220">
        <f t="shared" ref="E255" si="54">$P255*$L255/2</f>
        <v>0</v>
      </c>
      <c r="F255" s="219">
        <f t="shared" ref="F255:G255" si="55">$P255*$L255*2</f>
        <v>0</v>
      </c>
      <c r="G255" s="219">
        <f t="shared" si="55"/>
        <v>0</v>
      </c>
      <c r="H255" s="220">
        <f t="shared" ref="H255:I255" si="56">$P255*$L255/2</f>
        <v>0</v>
      </c>
      <c r="I255" s="220">
        <f t="shared" si="56"/>
        <v>0</v>
      </c>
      <c r="J255" s="219">
        <f t="shared" ref="J255" si="57">$P255*$L255*2</f>
        <v>0</v>
      </c>
      <c r="K255" s="47">
        <f t="shared" si="41"/>
        <v>0</v>
      </c>
      <c r="L255" s="140">
        <f t="shared" si="42"/>
        <v>0.1</v>
      </c>
      <c r="M255">
        <v>10</v>
      </c>
      <c r="O255" s="55" t="s">
        <v>18</v>
      </c>
      <c r="P255" s="128">
        <f>$A$145*(M255/$N$241)</f>
        <v>0</v>
      </c>
      <c r="Q255" s="219">
        <f t="shared" si="46"/>
        <v>0</v>
      </c>
      <c r="R255" s="218">
        <f t="shared" si="43"/>
        <v>0</v>
      </c>
      <c r="S255" s="220">
        <f t="shared" si="44"/>
        <v>0</v>
      </c>
      <c r="V255"/>
    </row>
    <row r="256" spans="2:22" hidden="1" outlineLevel="1">
      <c r="B256" s="55" t="s">
        <v>19</v>
      </c>
      <c r="C256" s="220">
        <f t="shared" ref="C256" si="58">$P256*$L256/2</f>
        <v>0</v>
      </c>
      <c r="D256" s="218">
        <f t="shared" ref="D256:G256" si="59">$P256*$L256</f>
        <v>0</v>
      </c>
      <c r="E256" s="218">
        <f t="shared" si="59"/>
        <v>0</v>
      </c>
      <c r="F256" s="218">
        <f t="shared" si="59"/>
        <v>0</v>
      </c>
      <c r="G256" s="218">
        <f t="shared" si="59"/>
        <v>0</v>
      </c>
      <c r="H256" s="219">
        <f t="shared" ref="H256:I256" si="60">$P256*$L256*2</f>
        <v>0</v>
      </c>
      <c r="I256" s="219">
        <f t="shared" si="60"/>
        <v>0</v>
      </c>
      <c r="J256" s="218">
        <f t="shared" ref="J256" si="61">$P256*$L256</f>
        <v>0</v>
      </c>
      <c r="K256" s="47">
        <f t="shared" si="41"/>
        <v>0</v>
      </c>
      <c r="L256" s="140">
        <f t="shared" si="42"/>
        <v>0.10526315789473684</v>
      </c>
      <c r="M256">
        <v>9.5</v>
      </c>
      <c r="O256" s="55" t="s">
        <v>19</v>
      </c>
      <c r="P256" s="128">
        <f>$A$146*(M256/$N$242)</f>
        <v>0</v>
      </c>
      <c r="Q256" s="219">
        <f t="shared" si="46"/>
        <v>0</v>
      </c>
      <c r="R256" s="218">
        <f t="shared" si="43"/>
        <v>0</v>
      </c>
      <c r="S256" s="220">
        <f t="shared" si="44"/>
        <v>0</v>
      </c>
      <c r="V256"/>
    </row>
    <row r="257" spans="2:22" hidden="1" outlineLevel="1">
      <c r="B257" s="55" t="s">
        <v>20</v>
      </c>
      <c r="C257" s="136"/>
      <c r="D257" s="219">
        <f t="shared" ref="D257:J257" si="62">$P257*$L257*2</f>
        <v>27.037037037037031</v>
      </c>
      <c r="E257" s="219">
        <f t="shared" si="62"/>
        <v>27.037037037037031</v>
      </c>
      <c r="F257" s="219">
        <f t="shared" si="62"/>
        <v>27.037037037037031</v>
      </c>
      <c r="G257" s="219">
        <f t="shared" si="62"/>
        <v>27.037037037037031</v>
      </c>
      <c r="H257" s="219">
        <f t="shared" si="62"/>
        <v>27.037037037037031</v>
      </c>
      <c r="I257" s="219">
        <f t="shared" si="62"/>
        <v>27.037037037037031</v>
      </c>
      <c r="J257" s="219">
        <f t="shared" si="62"/>
        <v>27.037037037037031</v>
      </c>
      <c r="K257" s="47">
        <f t="shared" si="41"/>
        <v>189.25925925925924</v>
      </c>
      <c r="L257" s="140">
        <f t="shared" si="42"/>
        <v>7.1428571428571425E-2</v>
      </c>
      <c r="M257">
        <v>14</v>
      </c>
      <c r="O257" s="55" t="s">
        <v>20</v>
      </c>
      <c r="P257" s="128">
        <f>$A$147*(M257/$N$243)</f>
        <v>189.25925925925924</v>
      </c>
      <c r="Q257" s="219">
        <f t="shared" si="46"/>
        <v>27.037037037037031</v>
      </c>
      <c r="R257" s="218">
        <f t="shared" si="43"/>
        <v>13.518518518518515</v>
      </c>
      <c r="S257" s="220">
        <f t="shared" si="44"/>
        <v>6.7592592592592577</v>
      </c>
      <c r="V257"/>
    </row>
    <row r="258" spans="2:22" hidden="1" outlineLevel="1">
      <c r="B258" s="55" t="s">
        <v>21</v>
      </c>
      <c r="C258" s="218">
        <f t="shared" ref="C258:J259" si="63">$P258*$L258</f>
        <v>0</v>
      </c>
      <c r="D258" s="218">
        <f t="shared" si="63"/>
        <v>0</v>
      </c>
      <c r="E258" s="218">
        <f t="shared" si="63"/>
        <v>0</v>
      </c>
      <c r="F258" s="218">
        <f t="shared" si="63"/>
        <v>0</v>
      </c>
      <c r="G258" s="218">
        <f t="shared" si="63"/>
        <v>0</v>
      </c>
      <c r="H258" s="218">
        <f t="shared" si="63"/>
        <v>0</v>
      </c>
      <c r="I258" s="218">
        <f t="shared" si="63"/>
        <v>0</v>
      </c>
      <c r="J258" s="218">
        <f t="shared" si="63"/>
        <v>0</v>
      </c>
      <c r="K258" s="47">
        <f t="shared" si="41"/>
        <v>0</v>
      </c>
      <c r="L258" s="140">
        <f t="shared" si="42"/>
        <v>0.125</v>
      </c>
      <c r="M258">
        <v>8</v>
      </c>
      <c r="O258" s="55" t="s">
        <v>21</v>
      </c>
      <c r="P258" s="128">
        <f>$A$148*(M258/$N$244)</f>
        <v>0</v>
      </c>
      <c r="Q258" s="219">
        <f t="shared" si="46"/>
        <v>0</v>
      </c>
      <c r="R258" s="218">
        <f t="shared" si="43"/>
        <v>0</v>
      </c>
      <c r="S258" s="220">
        <f t="shared" si="44"/>
        <v>0</v>
      </c>
      <c r="V258"/>
    </row>
    <row r="259" spans="2:22" hidden="1" outlineLevel="1">
      <c r="B259" s="55" t="s">
        <v>22</v>
      </c>
      <c r="C259" s="136"/>
      <c r="D259" s="219">
        <f t="shared" ref="D259" si="64">$P259*$L259*2</f>
        <v>16.5</v>
      </c>
      <c r="E259" s="218">
        <f t="shared" si="63"/>
        <v>8.25</v>
      </c>
      <c r="F259" s="218">
        <f t="shared" si="63"/>
        <v>8.25</v>
      </c>
      <c r="G259" s="218">
        <f t="shared" si="63"/>
        <v>8.25</v>
      </c>
      <c r="H259" s="218">
        <f t="shared" si="63"/>
        <v>8.25</v>
      </c>
      <c r="I259" s="218">
        <f t="shared" si="63"/>
        <v>8.25</v>
      </c>
      <c r="J259" s="218">
        <f t="shared" si="63"/>
        <v>8.25</v>
      </c>
      <c r="K259" s="47">
        <f t="shared" si="41"/>
        <v>66</v>
      </c>
      <c r="L259" s="140">
        <f t="shared" si="42"/>
        <v>0.125</v>
      </c>
      <c r="M259">
        <v>8</v>
      </c>
      <c r="O259" s="55" t="s">
        <v>22</v>
      </c>
      <c r="P259" s="128">
        <f>$A$149*(M259/$N$245)</f>
        <v>66</v>
      </c>
      <c r="Q259" s="219">
        <f t="shared" si="46"/>
        <v>16.5</v>
      </c>
      <c r="R259" s="218">
        <f t="shared" si="43"/>
        <v>8.25</v>
      </c>
      <c r="S259" s="220">
        <f t="shared" si="44"/>
        <v>4.125</v>
      </c>
      <c r="V259"/>
    </row>
    <row r="260" spans="2:22" hidden="1" outlineLevel="1">
      <c r="C260" s="128">
        <f>SUM(C248:C259)</f>
        <v>0.51666666666666661</v>
      </c>
      <c r="D260" s="128">
        <f t="shared" ref="D260:J260" si="65">SUM(D248:D259)</f>
        <v>50.849622071050632</v>
      </c>
      <c r="E260" s="128">
        <f t="shared" si="65"/>
        <v>42.599622071050632</v>
      </c>
      <c r="F260" s="128">
        <f t="shared" si="65"/>
        <v>42.599622071050632</v>
      </c>
      <c r="G260" s="128">
        <f t="shared" si="65"/>
        <v>43.987377173091453</v>
      </c>
      <c r="H260" s="128">
        <f t="shared" si="65"/>
        <v>47.987377173091453</v>
      </c>
      <c r="I260" s="128">
        <f t="shared" si="65"/>
        <v>48.599622071050639</v>
      </c>
      <c r="J260" s="128">
        <f t="shared" si="65"/>
        <v>39.85404383975812</v>
      </c>
      <c r="K260" s="47"/>
      <c r="L260" s="140"/>
      <c r="V260"/>
    </row>
    <row r="261" spans="2:22" hidden="1" outlineLevel="1">
      <c r="B261" s="55" t="s">
        <v>217</v>
      </c>
      <c r="C261" s="133" t="s">
        <v>206</v>
      </c>
      <c r="D261" s="133" t="s">
        <v>207</v>
      </c>
      <c r="E261" s="133" t="s">
        <v>208</v>
      </c>
      <c r="F261" s="133" t="s">
        <v>209</v>
      </c>
      <c r="G261" s="133" t="s">
        <v>210</v>
      </c>
      <c r="H261" s="133" t="s">
        <v>211</v>
      </c>
      <c r="I261" s="133" t="s">
        <v>212</v>
      </c>
      <c r="J261" s="133" t="s">
        <v>213</v>
      </c>
      <c r="K261" s="47"/>
      <c r="L261" s="140"/>
      <c r="O261" t="s">
        <v>319</v>
      </c>
      <c r="V261"/>
    </row>
    <row r="262" spans="2:22" hidden="1" outlineLevel="1">
      <c r="B262" s="55" t="s">
        <v>6</v>
      </c>
      <c r="C262" s="218">
        <f t="shared" ref="C262:J263" si="66">$P262*$L262</f>
        <v>0.25</v>
      </c>
      <c r="D262" s="218">
        <f t="shared" si="66"/>
        <v>0.25</v>
      </c>
      <c r="E262" s="218">
        <f t="shared" si="66"/>
        <v>0.25</v>
      </c>
      <c r="F262" s="218">
        <f t="shared" si="66"/>
        <v>0.25</v>
      </c>
      <c r="G262" s="218">
        <f t="shared" si="66"/>
        <v>0.25</v>
      </c>
      <c r="H262" s="218">
        <f t="shared" si="66"/>
        <v>0.25</v>
      </c>
      <c r="I262" s="218">
        <f t="shared" si="66"/>
        <v>0.25</v>
      </c>
      <c r="J262" s="218">
        <f t="shared" si="66"/>
        <v>0.25</v>
      </c>
      <c r="K262" s="47">
        <f t="shared" ref="K262:K273" si="67">SUM(C262:J262)</f>
        <v>2</v>
      </c>
      <c r="L262" s="140">
        <f t="shared" si="42"/>
        <v>0.125</v>
      </c>
      <c r="M262">
        <v>8</v>
      </c>
      <c r="O262" s="55" t="s">
        <v>6</v>
      </c>
      <c r="P262" s="128">
        <f>$A$138*(M262/$N$234)</f>
        <v>2</v>
      </c>
      <c r="Q262" s="219">
        <f t="shared" ref="Q262:Q273" si="68">$P262*$L262*2</f>
        <v>0.5</v>
      </c>
      <c r="R262" s="218">
        <f t="shared" ref="R262:R273" si="69">$P262*$L262</f>
        <v>0.25</v>
      </c>
      <c r="S262" s="220">
        <f t="shared" ref="S262:S273" si="70">$P262*$L262/2</f>
        <v>0.125</v>
      </c>
      <c r="V262"/>
    </row>
    <row r="263" spans="2:22" hidden="1" outlineLevel="1">
      <c r="B263" s="55" t="s">
        <v>9</v>
      </c>
      <c r="C263" s="136"/>
      <c r="D263" s="218">
        <f t="shared" si="66"/>
        <v>3.5714285714285712</v>
      </c>
      <c r="E263" s="218">
        <f t="shared" si="66"/>
        <v>3.5714285714285712</v>
      </c>
      <c r="F263" s="218">
        <f t="shared" si="66"/>
        <v>3.5714285714285712</v>
      </c>
      <c r="G263" s="218">
        <f t="shared" si="66"/>
        <v>3.5714285714285712</v>
      </c>
      <c r="H263" s="218">
        <f t="shared" si="66"/>
        <v>3.5714285714285712</v>
      </c>
      <c r="I263" s="218">
        <f t="shared" si="66"/>
        <v>3.5714285714285712</v>
      </c>
      <c r="J263" s="218">
        <f t="shared" si="66"/>
        <v>3.5714285714285712</v>
      </c>
      <c r="K263" s="47">
        <f t="shared" si="67"/>
        <v>24.999999999999993</v>
      </c>
      <c r="L263" s="140">
        <f t="shared" si="42"/>
        <v>0.14285714285714285</v>
      </c>
      <c r="M263" s="48">
        <v>7</v>
      </c>
      <c r="O263" s="55" t="s">
        <v>9</v>
      </c>
      <c r="P263" s="128">
        <f>$A$139*(M263/$N$235)</f>
        <v>25</v>
      </c>
      <c r="Q263" s="219">
        <f t="shared" si="68"/>
        <v>7.1428571428571423</v>
      </c>
      <c r="R263" s="218">
        <f t="shared" si="69"/>
        <v>3.5714285714285712</v>
      </c>
      <c r="S263" s="220">
        <f t="shared" si="70"/>
        <v>1.7857142857142856</v>
      </c>
      <c r="V263"/>
    </row>
    <row r="264" spans="2:22" hidden="1" outlineLevel="1">
      <c r="B264" s="55" t="s">
        <v>11</v>
      </c>
      <c r="C264" s="218">
        <f t="shared" ref="C264:I265" si="71">$P264*$L264</f>
        <v>0.26666666666666666</v>
      </c>
      <c r="D264" s="218">
        <f t="shared" si="71"/>
        <v>0.26666666666666666</v>
      </c>
      <c r="E264" s="218">
        <f t="shared" si="71"/>
        <v>0.26666666666666666</v>
      </c>
      <c r="F264" s="218">
        <f t="shared" si="71"/>
        <v>0.26666666666666666</v>
      </c>
      <c r="G264" s="218">
        <f t="shared" si="71"/>
        <v>0.26666666666666666</v>
      </c>
      <c r="H264" s="218">
        <f t="shared" si="71"/>
        <v>0.26666666666666666</v>
      </c>
      <c r="I264" s="218">
        <f t="shared" si="71"/>
        <v>0.26666666666666666</v>
      </c>
      <c r="J264" s="220">
        <f t="shared" ref="J264" si="72">$P264*$L264/2</f>
        <v>0.13333333333333333</v>
      </c>
      <c r="K264" s="47">
        <f t="shared" si="67"/>
        <v>1.9999999999999998</v>
      </c>
      <c r="L264" s="140">
        <f t="shared" si="42"/>
        <v>0.13333333333333333</v>
      </c>
      <c r="M264" s="48">
        <v>7.5</v>
      </c>
      <c r="O264" s="55" t="s">
        <v>11</v>
      </c>
      <c r="P264" s="128">
        <f>$A$140*(M264/$N$236)</f>
        <v>2</v>
      </c>
      <c r="Q264" s="219">
        <f t="shared" si="68"/>
        <v>0.53333333333333333</v>
      </c>
      <c r="R264" s="218">
        <f t="shared" si="69"/>
        <v>0.26666666666666666</v>
      </c>
      <c r="S264" s="220">
        <f t="shared" si="70"/>
        <v>0.13333333333333333</v>
      </c>
      <c r="V264"/>
    </row>
    <row r="265" spans="2:22" hidden="1" outlineLevel="1">
      <c r="B265" s="55" t="s">
        <v>13</v>
      </c>
      <c r="C265" s="136"/>
      <c r="D265" s="220">
        <f t="shared" ref="D265:F265" si="73">$P265*$L265/2</f>
        <v>2</v>
      </c>
      <c r="E265" s="220">
        <f t="shared" si="73"/>
        <v>2</v>
      </c>
      <c r="F265" s="220">
        <f t="shared" si="73"/>
        <v>2</v>
      </c>
      <c r="G265" s="218">
        <f t="shared" si="71"/>
        <v>4</v>
      </c>
      <c r="H265" s="219">
        <f t="shared" ref="H265:I265" si="74">$P265*$L265*2</f>
        <v>8</v>
      </c>
      <c r="I265" s="219">
        <f t="shared" si="74"/>
        <v>8</v>
      </c>
      <c r="J265" s="136"/>
      <c r="K265" s="47">
        <f t="shared" si="67"/>
        <v>26</v>
      </c>
      <c r="L265" s="140">
        <f t="shared" si="42"/>
        <v>0.15384615384615385</v>
      </c>
      <c r="M265" s="48">
        <v>6.5</v>
      </c>
      <c r="O265" s="55" t="s">
        <v>13</v>
      </c>
      <c r="P265" s="128">
        <f>$A$141*(M265/$N$237)</f>
        <v>26</v>
      </c>
      <c r="Q265" s="219">
        <f t="shared" si="68"/>
        <v>8</v>
      </c>
      <c r="R265" s="218">
        <f t="shared" si="69"/>
        <v>4</v>
      </c>
      <c r="S265" s="220">
        <f t="shared" si="70"/>
        <v>2</v>
      </c>
      <c r="V265"/>
    </row>
    <row r="266" spans="2:22" hidden="1" outlineLevel="1">
      <c r="B266" s="55" t="s">
        <v>15</v>
      </c>
      <c r="C266" s="219">
        <f t="shared" ref="C266:F268" si="75">$P266*$L266*2</f>
        <v>0</v>
      </c>
      <c r="D266" s="219">
        <f t="shared" si="75"/>
        <v>0</v>
      </c>
      <c r="E266" s="218">
        <f t="shared" ref="E266:F266" si="76">$P266*$L266</f>
        <v>0</v>
      </c>
      <c r="F266" s="218">
        <f t="shared" si="76"/>
        <v>0</v>
      </c>
      <c r="G266" s="219">
        <f t="shared" ref="G266:H266" si="77">$P266*$L266*2</f>
        <v>0</v>
      </c>
      <c r="H266" s="219">
        <f t="shared" si="77"/>
        <v>0</v>
      </c>
      <c r="I266" s="220">
        <f t="shared" ref="I266:J266" si="78">$P266*$L266/2</f>
        <v>0</v>
      </c>
      <c r="J266" s="220">
        <f t="shared" si="78"/>
        <v>0</v>
      </c>
      <c r="K266" s="47">
        <f t="shared" si="67"/>
        <v>0</v>
      </c>
      <c r="L266" s="140">
        <f t="shared" si="42"/>
        <v>9.0909090909090912E-2</v>
      </c>
      <c r="M266" s="48">
        <v>11</v>
      </c>
      <c r="O266" s="55" t="s">
        <v>15</v>
      </c>
      <c r="P266" s="128">
        <f>$A$142*(M266/$N$238)</f>
        <v>0</v>
      </c>
      <c r="Q266" s="219">
        <f t="shared" si="68"/>
        <v>0</v>
      </c>
      <c r="R266" s="218">
        <f t="shared" si="69"/>
        <v>0</v>
      </c>
      <c r="S266" s="220">
        <f t="shared" si="70"/>
        <v>0</v>
      </c>
      <c r="V266"/>
    </row>
    <row r="267" spans="2:22" hidden="1" outlineLevel="1">
      <c r="B267" s="55" t="s">
        <v>16</v>
      </c>
      <c r="C267" s="136"/>
      <c r="D267" s="219">
        <f t="shared" si="75"/>
        <v>1.2244897959183674</v>
      </c>
      <c r="E267" s="219">
        <f t="shared" si="75"/>
        <v>1.2244897959183674</v>
      </c>
      <c r="F267" s="219">
        <f t="shared" si="75"/>
        <v>1.2244897959183674</v>
      </c>
      <c r="G267" s="218">
        <f t="shared" ref="G267:H267" si="79">$P267*$L267</f>
        <v>0.61224489795918369</v>
      </c>
      <c r="H267" s="218">
        <f t="shared" si="79"/>
        <v>0.61224489795918369</v>
      </c>
      <c r="I267" s="219">
        <f t="shared" ref="I267" si="80">$P267*$L267*2</f>
        <v>1.2244897959183674</v>
      </c>
      <c r="J267" s="218">
        <f t="shared" ref="J267" si="81">$P267*$L267</f>
        <v>0.61224489795918369</v>
      </c>
      <c r="K267" s="47">
        <f t="shared" si="67"/>
        <v>6.7346938775510212</v>
      </c>
      <c r="L267" s="140">
        <f t="shared" si="42"/>
        <v>9.0909090909090912E-2</v>
      </c>
      <c r="M267" s="48">
        <v>11</v>
      </c>
      <c r="O267" s="55" t="s">
        <v>16</v>
      </c>
      <c r="P267" s="128">
        <f>$A$143*(M267/$N$239)</f>
        <v>6.7346938775510203</v>
      </c>
      <c r="Q267" s="219">
        <f t="shared" si="68"/>
        <v>1.2244897959183674</v>
      </c>
      <c r="R267" s="218">
        <f t="shared" si="69"/>
        <v>0.61224489795918369</v>
      </c>
      <c r="S267" s="220">
        <f t="shared" si="70"/>
        <v>0.30612244897959184</v>
      </c>
      <c r="V267"/>
    </row>
    <row r="268" spans="2:22" hidden="1" outlineLevel="1">
      <c r="B268" s="55" t="s">
        <v>17</v>
      </c>
      <c r="C268" s="220">
        <f t="shared" ref="C268" si="82">$P268*$L268/2</f>
        <v>0</v>
      </c>
      <c r="D268" s="218">
        <f t="shared" ref="D268" si="83">$P268*$L268</f>
        <v>0</v>
      </c>
      <c r="E268" s="219">
        <f t="shared" si="75"/>
        <v>0</v>
      </c>
      <c r="F268" s="218">
        <f t="shared" ref="F268:G268" si="84">$P268*$L268</f>
        <v>0</v>
      </c>
      <c r="G268" s="218">
        <f t="shared" si="84"/>
        <v>0</v>
      </c>
      <c r="H268" s="219">
        <f t="shared" ref="H268:I268" si="85">$P268*$L268*2</f>
        <v>0</v>
      </c>
      <c r="I268" s="219">
        <f t="shared" si="85"/>
        <v>0</v>
      </c>
      <c r="J268" s="220">
        <f t="shared" ref="J268" si="86">$P268*$L268/2</f>
        <v>0</v>
      </c>
      <c r="K268" s="47">
        <f t="shared" si="67"/>
        <v>0</v>
      </c>
      <c r="L268" s="140">
        <f t="shared" si="42"/>
        <v>0.1</v>
      </c>
      <c r="M268" s="48">
        <v>10</v>
      </c>
      <c r="O268" s="55" t="s">
        <v>17</v>
      </c>
      <c r="P268" s="128">
        <f>$A$144*(M268/$N$240)</f>
        <v>0</v>
      </c>
      <c r="Q268" s="219">
        <f t="shared" si="68"/>
        <v>0</v>
      </c>
      <c r="R268" s="218">
        <f t="shared" si="69"/>
        <v>0</v>
      </c>
      <c r="S268" s="220">
        <f t="shared" si="70"/>
        <v>0</v>
      </c>
      <c r="V268"/>
    </row>
    <row r="269" spans="2:22" hidden="1" outlineLevel="1">
      <c r="B269" s="55" t="s">
        <v>18</v>
      </c>
      <c r="C269" s="219">
        <f t="shared" ref="C269" si="87">$P269*$L269*2</f>
        <v>0</v>
      </c>
      <c r="D269" s="220">
        <f t="shared" ref="D269:E269" si="88">$P269*$L269/2</f>
        <v>0</v>
      </c>
      <c r="E269" s="220">
        <f t="shared" si="88"/>
        <v>0</v>
      </c>
      <c r="F269" s="219">
        <f t="shared" ref="F269:G269" si="89">$P269*$L269*2</f>
        <v>0</v>
      </c>
      <c r="G269" s="219">
        <f t="shared" si="89"/>
        <v>0</v>
      </c>
      <c r="H269" s="220">
        <f t="shared" ref="H269:I269" si="90">$P269*$L269/2</f>
        <v>0</v>
      </c>
      <c r="I269" s="220">
        <f t="shared" si="90"/>
        <v>0</v>
      </c>
      <c r="J269" s="219">
        <f t="shared" ref="J269" si="91">$P269*$L269*2</f>
        <v>0</v>
      </c>
      <c r="K269" s="47">
        <f t="shared" si="67"/>
        <v>0</v>
      </c>
      <c r="L269" s="140">
        <f t="shared" si="42"/>
        <v>0.1</v>
      </c>
      <c r="M269" s="48">
        <v>10</v>
      </c>
      <c r="O269" s="55" t="s">
        <v>18</v>
      </c>
      <c r="P269" s="128">
        <f>$A$145*(M269/$N$241)</f>
        <v>0</v>
      </c>
      <c r="Q269" s="219">
        <f>$P269*$L269*2</f>
        <v>0</v>
      </c>
      <c r="R269" s="218">
        <f>$P269*$L269</f>
        <v>0</v>
      </c>
      <c r="S269" s="220">
        <f>$P269*$L269/2</f>
        <v>0</v>
      </c>
      <c r="V269"/>
    </row>
    <row r="270" spans="2:22" hidden="1" outlineLevel="1">
      <c r="B270" s="55" t="s">
        <v>19</v>
      </c>
      <c r="C270" s="220">
        <f t="shared" ref="C270" si="92">$P270*$L270/2</f>
        <v>0</v>
      </c>
      <c r="D270" s="218">
        <f t="shared" ref="D270:G270" si="93">$P270*$L270</f>
        <v>0</v>
      </c>
      <c r="E270" s="218">
        <f t="shared" si="93"/>
        <v>0</v>
      </c>
      <c r="F270" s="218">
        <f t="shared" si="93"/>
        <v>0</v>
      </c>
      <c r="G270" s="218">
        <f t="shared" si="93"/>
        <v>0</v>
      </c>
      <c r="H270" s="219">
        <f t="shared" ref="H270:I270" si="94">$P270*$L270*2</f>
        <v>0</v>
      </c>
      <c r="I270" s="219">
        <f t="shared" si="94"/>
        <v>0</v>
      </c>
      <c r="J270" s="218">
        <f t="shared" ref="J270" si="95">$P270*$L270</f>
        <v>0</v>
      </c>
      <c r="K270" s="47">
        <f t="shared" si="67"/>
        <v>0</v>
      </c>
      <c r="L270" s="140">
        <f t="shared" si="42"/>
        <v>0.10526315789473684</v>
      </c>
      <c r="M270" s="48">
        <v>9.5</v>
      </c>
      <c r="O270" s="55" t="s">
        <v>19</v>
      </c>
      <c r="P270" s="128">
        <f>$A$146*(M270/$N$242)</f>
        <v>0</v>
      </c>
      <c r="Q270" s="219">
        <f t="shared" si="68"/>
        <v>0</v>
      </c>
      <c r="R270" s="218">
        <f t="shared" si="69"/>
        <v>0</v>
      </c>
      <c r="S270" s="220">
        <f t="shared" si="70"/>
        <v>0</v>
      </c>
      <c r="V270"/>
    </row>
    <row r="271" spans="2:22" hidden="1" outlineLevel="1">
      <c r="B271" s="55" t="s">
        <v>20</v>
      </c>
      <c r="C271" s="136"/>
      <c r="D271" s="219">
        <f t="shared" ref="D271:J271" si="96">$P271*$L271*2</f>
        <v>27.037037037037031</v>
      </c>
      <c r="E271" s="219">
        <f t="shared" si="96"/>
        <v>27.037037037037031</v>
      </c>
      <c r="F271" s="219">
        <f t="shared" si="96"/>
        <v>27.037037037037031</v>
      </c>
      <c r="G271" s="219">
        <f t="shared" si="96"/>
        <v>27.037037037037031</v>
      </c>
      <c r="H271" s="219">
        <f t="shared" si="96"/>
        <v>27.037037037037031</v>
      </c>
      <c r="I271" s="219">
        <f t="shared" si="96"/>
        <v>27.037037037037031</v>
      </c>
      <c r="J271" s="219">
        <f t="shared" si="96"/>
        <v>27.037037037037031</v>
      </c>
      <c r="K271" s="47">
        <f t="shared" si="67"/>
        <v>189.25925925925924</v>
      </c>
      <c r="L271" s="140">
        <f t="shared" si="42"/>
        <v>7.1428571428571425E-2</v>
      </c>
      <c r="M271" s="48">
        <v>14</v>
      </c>
      <c r="O271" s="55" t="s">
        <v>20</v>
      </c>
      <c r="P271" s="128">
        <f>$A$147*(M271/$N$243)</f>
        <v>189.25925925925924</v>
      </c>
      <c r="Q271" s="219">
        <f t="shared" si="68"/>
        <v>27.037037037037031</v>
      </c>
      <c r="R271" s="218">
        <f t="shared" si="69"/>
        <v>13.518518518518515</v>
      </c>
      <c r="S271" s="220">
        <f t="shared" si="70"/>
        <v>6.7592592592592577</v>
      </c>
      <c r="V271"/>
    </row>
    <row r="272" spans="2:22" hidden="1" outlineLevel="1">
      <c r="B272" s="55" t="s">
        <v>21</v>
      </c>
      <c r="C272" s="218">
        <f t="shared" ref="C272:J273" si="97">$P272*$L272</f>
        <v>0</v>
      </c>
      <c r="D272" s="218">
        <f t="shared" si="97"/>
        <v>0</v>
      </c>
      <c r="E272" s="218">
        <f t="shared" si="97"/>
        <v>0</v>
      </c>
      <c r="F272" s="218">
        <f t="shared" si="97"/>
        <v>0</v>
      </c>
      <c r="G272" s="218">
        <f t="shared" si="97"/>
        <v>0</v>
      </c>
      <c r="H272" s="218">
        <f t="shared" si="97"/>
        <v>0</v>
      </c>
      <c r="I272" s="218">
        <f t="shared" si="97"/>
        <v>0</v>
      </c>
      <c r="J272" s="218">
        <f t="shared" si="97"/>
        <v>0</v>
      </c>
      <c r="K272" s="47">
        <f t="shared" si="67"/>
        <v>0</v>
      </c>
      <c r="L272" s="140">
        <f t="shared" si="42"/>
        <v>0.125</v>
      </c>
      <c r="M272" s="48">
        <v>8</v>
      </c>
      <c r="N272" s="133"/>
      <c r="O272" s="55" t="s">
        <v>21</v>
      </c>
      <c r="P272" s="128">
        <f>$A$148*(M272/$N$244)</f>
        <v>0</v>
      </c>
      <c r="Q272" s="219">
        <f t="shared" si="68"/>
        <v>0</v>
      </c>
      <c r="R272" s="218">
        <f t="shared" si="69"/>
        <v>0</v>
      </c>
      <c r="S272" s="220">
        <f t="shared" si="70"/>
        <v>0</v>
      </c>
      <c r="V272"/>
    </row>
    <row r="273" spans="2:22" hidden="1" outlineLevel="1">
      <c r="B273" s="55" t="s">
        <v>22</v>
      </c>
      <c r="C273" s="136"/>
      <c r="D273" s="219">
        <f t="shared" ref="D273" si="98">$P273*$L273*2</f>
        <v>16.5</v>
      </c>
      <c r="E273" s="218">
        <f t="shared" si="97"/>
        <v>8.25</v>
      </c>
      <c r="F273" s="218">
        <f t="shared" si="97"/>
        <v>8.25</v>
      </c>
      <c r="G273" s="218">
        <f t="shared" si="97"/>
        <v>8.25</v>
      </c>
      <c r="H273" s="218">
        <f t="shared" si="97"/>
        <v>8.25</v>
      </c>
      <c r="I273" s="218">
        <f t="shared" si="97"/>
        <v>8.25</v>
      </c>
      <c r="J273" s="218">
        <f t="shared" si="97"/>
        <v>8.25</v>
      </c>
      <c r="K273" s="47">
        <f t="shared" si="67"/>
        <v>66</v>
      </c>
      <c r="L273" s="140">
        <f t="shared" si="42"/>
        <v>0.125</v>
      </c>
      <c r="M273" s="48">
        <v>8</v>
      </c>
      <c r="O273" s="55" t="s">
        <v>22</v>
      </c>
      <c r="P273" s="128">
        <f>$A$149*(M273/$N$245)</f>
        <v>66</v>
      </c>
      <c r="Q273" s="219">
        <f t="shared" si="68"/>
        <v>16.5</v>
      </c>
      <c r="R273" s="218">
        <f t="shared" si="69"/>
        <v>8.25</v>
      </c>
      <c r="S273" s="220">
        <f t="shared" si="70"/>
        <v>4.125</v>
      </c>
      <c r="V273"/>
    </row>
    <row r="274" spans="2:22" hidden="1" outlineLevel="1">
      <c r="B274" s="226"/>
      <c r="C274" s="128">
        <f>SUM(C262:C273)</f>
        <v>0.51666666666666661</v>
      </c>
      <c r="D274" s="128">
        <f t="shared" ref="D274:J274" si="99">SUM(D262:D273)</f>
        <v>50.849622071050632</v>
      </c>
      <c r="E274" s="128">
        <f t="shared" si="99"/>
        <v>42.599622071050632</v>
      </c>
      <c r="F274" s="128">
        <f t="shared" si="99"/>
        <v>42.599622071050632</v>
      </c>
      <c r="G274" s="128">
        <f t="shared" si="99"/>
        <v>43.987377173091453</v>
      </c>
      <c r="H274" s="128">
        <f t="shared" si="99"/>
        <v>47.987377173091453</v>
      </c>
      <c r="I274" s="128">
        <f t="shared" si="99"/>
        <v>48.599622071050639</v>
      </c>
      <c r="J274" s="128">
        <f t="shared" si="99"/>
        <v>39.85404383975812</v>
      </c>
      <c r="K274" s="47"/>
      <c r="L274" s="140"/>
      <c r="M274" s="48"/>
      <c r="V274"/>
    </row>
    <row r="275" spans="2:22" hidden="1" outlineLevel="1">
      <c r="B275" s="226" t="s">
        <v>219</v>
      </c>
      <c r="C275" s="133" t="s">
        <v>206</v>
      </c>
      <c r="D275" s="133" t="s">
        <v>207</v>
      </c>
      <c r="E275" s="133" t="s">
        <v>208</v>
      </c>
      <c r="F275" s="133" t="s">
        <v>209</v>
      </c>
      <c r="G275" s="133" t="s">
        <v>210</v>
      </c>
      <c r="H275" s="133" t="s">
        <v>211</v>
      </c>
      <c r="I275" s="133" t="s">
        <v>212</v>
      </c>
      <c r="J275" s="133" t="s">
        <v>213</v>
      </c>
      <c r="K275" s="47"/>
      <c r="L275" s="140"/>
      <c r="M275" s="48"/>
      <c r="O275" t="s">
        <v>319</v>
      </c>
      <c r="V275"/>
    </row>
    <row r="276" spans="2:22" hidden="1" outlineLevel="1">
      <c r="B276" s="55" t="s">
        <v>6</v>
      </c>
      <c r="C276" s="218">
        <f t="shared" ref="C276:J277" si="100">$P276*$L276</f>
        <v>0.25</v>
      </c>
      <c r="D276" s="218">
        <f t="shared" si="100"/>
        <v>0.25</v>
      </c>
      <c r="E276" s="218">
        <f t="shared" si="100"/>
        <v>0.25</v>
      </c>
      <c r="F276" s="218">
        <f t="shared" si="100"/>
        <v>0.25</v>
      </c>
      <c r="G276" s="218">
        <f t="shared" si="100"/>
        <v>0.25</v>
      </c>
      <c r="H276" s="218">
        <f t="shared" si="100"/>
        <v>0.25</v>
      </c>
      <c r="I276" s="218">
        <f t="shared" si="100"/>
        <v>0.25</v>
      </c>
      <c r="J276" s="218">
        <f t="shared" si="100"/>
        <v>0.25</v>
      </c>
      <c r="K276" s="47">
        <f t="shared" ref="K276:K287" si="101">SUM(C276:J276)</f>
        <v>2</v>
      </c>
      <c r="L276" s="140">
        <f t="shared" si="42"/>
        <v>0.125</v>
      </c>
      <c r="M276" s="48">
        <v>8</v>
      </c>
      <c r="O276" s="55" t="s">
        <v>6</v>
      </c>
      <c r="P276" s="128">
        <f>$A$138*(M276/$N$234)</f>
        <v>2</v>
      </c>
      <c r="Q276" s="219">
        <f t="shared" ref="Q276:Q287" si="102">$P276*$L276*2</f>
        <v>0.5</v>
      </c>
      <c r="R276" s="218">
        <f t="shared" ref="R276:R287" si="103">$P276*$L276</f>
        <v>0.25</v>
      </c>
      <c r="S276" s="220">
        <f t="shared" ref="S276:S287" si="104">$P276*$L276/2</f>
        <v>0.125</v>
      </c>
      <c r="V276"/>
    </row>
    <row r="277" spans="2:22" hidden="1" outlineLevel="1">
      <c r="B277" s="55" t="s">
        <v>9</v>
      </c>
      <c r="C277" s="136"/>
      <c r="D277" s="218">
        <f t="shared" si="100"/>
        <v>3.5714285714285712</v>
      </c>
      <c r="E277" s="218">
        <f t="shared" si="100"/>
        <v>3.5714285714285712</v>
      </c>
      <c r="F277" s="218">
        <f t="shared" si="100"/>
        <v>3.5714285714285712</v>
      </c>
      <c r="G277" s="218">
        <f t="shared" si="100"/>
        <v>3.5714285714285712</v>
      </c>
      <c r="H277" s="218">
        <f t="shared" si="100"/>
        <v>3.5714285714285712</v>
      </c>
      <c r="I277" s="218">
        <f t="shared" si="100"/>
        <v>3.5714285714285712</v>
      </c>
      <c r="J277" s="218">
        <f t="shared" si="100"/>
        <v>3.5714285714285712</v>
      </c>
      <c r="K277" s="47">
        <f t="shared" si="101"/>
        <v>24.999999999999993</v>
      </c>
      <c r="L277" s="140">
        <f t="shared" si="42"/>
        <v>0.14285714285714285</v>
      </c>
      <c r="M277" s="48">
        <v>7</v>
      </c>
      <c r="O277" s="55" t="s">
        <v>9</v>
      </c>
      <c r="P277" s="128">
        <f>$A$139*(M277/$N$235)</f>
        <v>25</v>
      </c>
      <c r="Q277" s="219">
        <f t="shared" si="102"/>
        <v>7.1428571428571423</v>
      </c>
      <c r="R277" s="218">
        <f t="shared" si="103"/>
        <v>3.5714285714285712</v>
      </c>
      <c r="S277" s="220">
        <f t="shared" si="104"/>
        <v>1.7857142857142856</v>
      </c>
      <c r="V277"/>
    </row>
    <row r="278" spans="2:22" hidden="1" outlineLevel="1">
      <c r="B278" s="55" t="s">
        <v>11</v>
      </c>
      <c r="C278" s="218">
        <f t="shared" ref="C278:I279" si="105">$P278*$L278</f>
        <v>0.26666666666666666</v>
      </c>
      <c r="D278" s="218">
        <f t="shared" si="105"/>
        <v>0.26666666666666666</v>
      </c>
      <c r="E278" s="218">
        <f t="shared" si="105"/>
        <v>0.26666666666666666</v>
      </c>
      <c r="F278" s="218">
        <f t="shared" si="105"/>
        <v>0.26666666666666666</v>
      </c>
      <c r="G278" s="218">
        <f t="shared" si="105"/>
        <v>0.26666666666666666</v>
      </c>
      <c r="H278" s="218">
        <f t="shared" si="105"/>
        <v>0.26666666666666666</v>
      </c>
      <c r="I278" s="218">
        <f t="shared" si="105"/>
        <v>0.26666666666666666</v>
      </c>
      <c r="J278" s="220">
        <f t="shared" ref="J278" si="106">$P278*$L278/2</f>
        <v>0.13333333333333333</v>
      </c>
      <c r="K278" s="47">
        <f t="shared" si="101"/>
        <v>1.9999999999999998</v>
      </c>
      <c r="L278" s="140">
        <f t="shared" si="42"/>
        <v>0.13333333333333333</v>
      </c>
      <c r="M278" s="48">
        <v>7.5</v>
      </c>
      <c r="O278" s="55" t="s">
        <v>11</v>
      </c>
      <c r="P278" s="128">
        <f>$A$140*(M278/$N$236)</f>
        <v>2</v>
      </c>
      <c r="Q278" s="219">
        <f t="shared" si="102"/>
        <v>0.53333333333333333</v>
      </c>
      <c r="R278" s="218">
        <f t="shared" si="103"/>
        <v>0.26666666666666666</v>
      </c>
      <c r="S278" s="220">
        <f t="shared" si="104"/>
        <v>0.13333333333333333</v>
      </c>
      <c r="V278"/>
    </row>
    <row r="279" spans="2:22" hidden="1" outlineLevel="1">
      <c r="B279" s="55" t="s">
        <v>13</v>
      </c>
      <c r="C279" s="136"/>
      <c r="D279" s="220">
        <f t="shared" ref="D279:F279" si="107">$P279*$L279/2</f>
        <v>2</v>
      </c>
      <c r="E279" s="220">
        <f t="shared" si="107"/>
        <v>2</v>
      </c>
      <c r="F279" s="220">
        <f t="shared" si="107"/>
        <v>2</v>
      </c>
      <c r="G279" s="218">
        <f t="shared" si="105"/>
        <v>4</v>
      </c>
      <c r="H279" s="219">
        <f t="shared" ref="H279:I279" si="108">$P279*$L279*2</f>
        <v>8</v>
      </c>
      <c r="I279" s="219">
        <f t="shared" si="108"/>
        <v>8</v>
      </c>
      <c r="J279" s="136"/>
      <c r="K279" s="47">
        <f t="shared" si="101"/>
        <v>26</v>
      </c>
      <c r="L279" s="140">
        <f t="shared" si="42"/>
        <v>0.15384615384615385</v>
      </c>
      <c r="M279" s="48">
        <v>6.5</v>
      </c>
      <c r="O279" s="55" t="s">
        <v>13</v>
      </c>
      <c r="P279" s="128">
        <f>$A$141*(M279/$N$237)</f>
        <v>26</v>
      </c>
      <c r="Q279" s="219">
        <f t="shared" si="102"/>
        <v>8</v>
      </c>
      <c r="R279" s="218">
        <f t="shared" si="103"/>
        <v>4</v>
      </c>
      <c r="S279" s="220">
        <f t="shared" si="104"/>
        <v>2</v>
      </c>
      <c r="V279"/>
    </row>
    <row r="280" spans="2:22" hidden="1" outlineLevel="1">
      <c r="B280" s="55" t="s">
        <v>15</v>
      </c>
      <c r="C280" s="219">
        <f t="shared" ref="C280:D280" si="109">$P280*$L280*2</f>
        <v>0</v>
      </c>
      <c r="D280" s="219">
        <f t="shared" si="109"/>
        <v>0</v>
      </c>
      <c r="E280" s="218">
        <f t="shared" ref="E280:F280" si="110">$P280*$L280</f>
        <v>0</v>
      </c>
      <c r="F280" s="218">
        <f t="shared" si="110"/>
        <v>0</v>
      </c>
      <c r="G280" s="219">
        <f t="shared" ref="G280:I282" si="111">$P280*$L280*2</f>
        <v>0</v>
      </c>
      <c r="H280" s="219">
        <f t="shared" si="111"/>
        <v>0</v>
      </c>
      <c r="I280" s="220">
        <f t="shared" ref="I280:J280" si="112">$P280*$L280/2</f>
        <v>0</v>
      </c>
      <c r="J280" s="220">
        <f t="shared" si="112"/>
        <v>0</v>
      </c>
      <c r="K280" s="47">
        <f t="shared" si="101"/>
        <v>0</v>
      </c>
      <c r="L280" s="140">
        <f t="shared" si="42"/>
        <v>9.0909090909090912E-2</v>
      </c>
      <c r="M280" s="48">
        <v>11</v>
      </c>
      <c r="O280" s="55" t="s">
        <v>15</v>
      </c>
      <c r="P280" s="128">
        <f>$A$142*(M280/$N$238)</f>
        <v>0</v>
      </c>
      <c r="Q280" s="219">
        <f t="shared" si="102"/>
        <v>0</v>
      </c>
      <c r="R280" s="218">
        <f t="shared" si="103"/>
        <v>0</v>
      </c>
      <c r="S280" s="220">
        <f t="shared" si="104"/>
        <v>0</v>
      </c>
      <c r="V280"/>
    </row>
    <row r="281" spans="2:22" hidden="1" outlineLevel="1">
      <c r="B281" s="55" t="s">
        <v>16</v>
      </c>
      <c r="C281" s="136"/>
      <c r="D281" s="218">
        <f t="shared" ref="D281:G282" si="113">$P281*$L281</f>
        <v>0.61224489795918369</v>
      </c>
      <c r="E281" s="218">
        <f t="shared" si="113"/>
        <v>0.61224489795918369</v>
      </c>
      <c r="F281" s="218">
        <f t="shared" si="113"/>
        <v>0.61224489795918369</v>
      </c>
      <c r="G281" s="218">
        <f t="shared" si="113"/>
        <v>0.61224489795918369</v>
      </c>
      <c r="H281" s="219">
        <f t="shared" si="111"/>
        <v>1.2244897959183674</v>
      </c>
      <c r="I281" s="219">
        <f t="shared" si="111"/>
        <v>1.2244897959183674</v>
      </c>
      <c r="J281" s="218">
        <f t="shared" ref="J281" si="114">$P281*$L281</f>
        <v>0.61224489795918369</v>
      </c>
      <c r="K281" s="47">
        <f t="shared" si="101"/>
        <v>5.5102040816326534</v>
      </c>
      <c r="L281" s="140">
        <f t="shared" si="42"/>
        <v>0.1111111111111111</v>
      </c>
      <c r="M281" s="48">
        <v>9</v>
      </c>
      <c r="O281" s="55" t="s">
        <v>16</v>
      </c>
      <c r="P281" s="128">
        <f>$A$143*(M281/$N$239)</f>
        <v>5.5102040816326534</v>
      </c>
      <c r="Q281" s="219">
        <f t="shared" si="102"/>
        <v>1.2244897959183674</v>
      </c>
      <c r="R281" s="218">
        <f t="shared" si="103"/>
        <v>0.61224489795918369</v>
      </c>
      <c r="S281" s="220">
        <f t="shared" si="104"/>
        <v>0.30612244897959184</v>
      </c>
      <c r="V281"/>
    </row>
    <row r="282" spans="2:22" hidden="1" outlineLevel="1">
      <c r="B282" s="55" t="s">
        <v>17</v>
      </c>
      <c r="C282" s="220">
        <f t="shared" ref="C282" si="115">$P282*$L282/2</f>
        <v>0</v>
      </c>
      <c r="D282" s="218">
        <f t="shared" si="113"/>
        <v>0</v>
      </c>
      <c r="E282" s="219">
        <f t="shared" ref="E282" si="116">$P282*$L282*2</f>
        <v>0</v>
      </c>
      <c r="F282" s="218">
        <f t="shared" si="113"/>
        <v>0</v>
      </c>
      <c r="G282" s="218">
        <f t="shared" si="113"/>
        <v>0</v>
      </c>
      <c r="H282" s="219">
        <f t="shared" si="111"/>
        <v>0</v>
      </c>
      <c r="I282" s="219">
        <f t="shared" si="111"/>
        <v>0</v>
      </c>
      <c r="J282" s="220">
        <f t="shared" ref="J282" si="117">$P282*$L282/2</f>
        <v>0</v>
      </c>
      <c r="K282" s="47">
        <f t="shared" si="101"/>
        <v>0</v>
      </c>
      <c r="L282" s="140">
        <f t="shared" si="42"/>
        <v>0.1</v>
      </c>
      <c r="M282">
        <v>10</v>
      </c>
      <c r="O282" s="55" t="s">
        <v>17</v>
      </c>
      <c r="P282" s="128">
        <f>$A$144*(M282/$N$240)</f>
        <v>0</v>
      </c>
      <c r="Q282" s="219">
        <f t="shared" si="102"/>
        <v>0</v>
      </c>
      <c r="R282" s="218">
        <f t="shared" si="103"/>
        <v>0</v>
      </c>
      <c r="S282" s="220">
        <f t="shared" si="104"/>
        <v>0</v>
      </c>
      <c r="V282"/>
    </row>
    <row r="283" spans="2:22" hidden="1" outlineLevel="1">
      <c r="B283" s="55" t="s">
        <v>18</v>
      </c>
      <c r="C283" s="219">
        <f t="shared" ref="C283" si="118">$P283*$L283*2</f>
        <v>0</v>
      </c>
      <c r="D283" s="220">
        <f t="shared" ref="D283:E283" si="119">$P283*$L283/2</f>
        <v>0</v>
      </c>
      <c r="E283" s="220">
        <f t="shared" si="119"/>
        <v>0</v>
      </c>
      <c r="F283" s="219">
        <f t="shared" ref="F283:G283" si="120">$P283*$L283*2</f>
        <v>0</v>
      </c>
      <c r="G283" s="219">
        <f t="shared" si="120"/>
        <v>0</v>
      </c>
      <c r="H283" s="220">
        <f t="shared" ref="H283:I283" si="121">$P283*$L283/2</f>
        <v>0</v>
      </c>
      <c r="I283" s="220">
        <f t="shared" si="121"/>
        <v>0</v>
      </c>
      <c r="J283" s="219">
        <f t="shared" ref="J283" si="122">$P283*$L283*2</f>
        <v>0</v>
      </c>
      <c r="K283" s="47">
        <f t="shared" si="101"/>
        <v>0</v>
      </c>
      <c r="L283" s="140">
        <f t="shared" si="42"/>
        <v>0.1</v>
      </c>
      <c r="M283" s="48">
        <v>10</v>
      </c>
      <c r="O283" s="55" t="s">
        <v>18</v>
      </c>
      <c r="P283" s="128">
        <f>$A$145*(M283/$N$241)</f>
        <v>0</v>
      </c>
      <c r="Q283" s="219">
        <f t="shared" si="102"/>
        <v>0</v>
      </c>
      <c r="R283" s="218">
        <f t="shared" si="103"/>
        <v>0</v>
      </c>
      <c r="S283" s="220">
        <f t="shared" si="104"/>
        <v>0</v>
      </c>
      <c r="V283"/>
    </row>
    <row r="284" spans="2:22" hidden="1" outlineLevel="1">
      <c r="B284" s="55" t="s">
        <v>19</v>
      </c>
      <c r="C284" s="220">
        <f t="shared" ref="C284" si="123">$P284*$L284/2</f>
        <v>0</v>
      </c>
      <c r="D284" s="218">
        <f t="shared" ref="D284:G284" si="124">$P284*$L284</f>
        <v>0</v>
      </c>
      <c r="E284" s="218">
        <f t="shared" si="124"/>
        <v>0</v>
      </c>
      <c r="F284" s="218">
        <f t="shared" si="124"/>
        <v>0</v>
      </c>
      <c r="G284" s="218">
        <f t="shared" si="124"/>
        <v>0</v>
      </c>
      <c r="H284" s="219">
        <f t="shared" ref="H284:I284" si="125">$P284*$L284*2</f>
        <v>0</v>
      </c>
      <c r="I284" s="219">
        <f t="shared" si="125"/>
        <v>0</v>
      </c>
      <c r="J284" s="218">
        <f t="shared" ref="J284" si="126">$P284*$L284</f>
        <v>0</v>
      </c>
      <c r="K284" s="47">
        <f t="shared" si="101"/>
        <v>0</v>
      </c>
      <c r="L284" s="140">
        <f t="shared" si="42"/>
        <v>0.10526315789473684</v>
      </c>
      <c r="M284" s="48">
        <v>9.5</v>
      </c>
      <c r="N284" s="133"/>
      <c r="O284" s="55" t="s">
        <v>19</v>
      </c>
      <c r="P284" s="128">
        <f>$A$146*(M284/$N$242)</f>
        <v>0</v>
      </c>
      <c r="Q284" s="219">
        <f>$P284*$L284*2</f>
        <v>0</v>
      </c>
      <c r="R284" s="218">
        <f t="shared" si="103"/>
        <v>0</v>
      </c>
      <c r="S284" s="220">
        <f t="shared" si="104"/>
        <v>0</v>
      </c>
      <c r="V284"/>
    </row>
    <row r="285" spans="2:22" hidden="1" outlineLevel="1">
      <c r="B285" s="55" t="s">
        <v>20</v>
      </c>
      <c r="C285" s="136"/>
      <c r="D285" s="219">
        <f t="shared" ref="D285:J285" si="127">$P285*$L285*2</f>
        <v>27.037037037037031</v>
      </c>
      <c r="E285" s="219">
        <f t="shared" si="127"/>
        <v>27.037037037037031</v>
      </c>
      <c r="F285" s="219">
        <f t="shared" si="127"/>
        <v>27.037037037037031</v>
      </c>
      <c r="G285" s="219">
        <f t="shared" si="127"/>
        <v>27.037037037037031</v>
      </c>
      <c r="H285" s="219">
        <f t="shared" si="127"/>
        <v>27.037037037037031</v>
      </c>
      <c r="I285" s="219">
        <f t="shared" si="127"/>
        <v>27.037037037037031</v>
      </c>
      <c r="J285" s="219">
        <f t="shared" si="127"/>
        <v>27.037037037037031</v>
      </c>
      <c r="K285" s="47">
        <f t="shared" si="101"/>
        <v>189.25925925925924</v>
      </c>
      <c r="L285" s="140">
        <f t="shared" si="42"/>
        <v>7.1428571428571425E-2</v>
      </c>
      <c r="M285" s="48">
        <v>14</v>
      </c>
      <c r="O285" s="55" t="s">
        <v>20</v>
      </c>
      <c r="P285" s="128">
        <f>$A$147*(M285/$N$243)</f>
        <v>189.25925925925924</v>
      </c>
      <c r="Q285" s="219">
        <f t="shared" si="102"/>
        <v>27.037037037037031</v>
      </c>
      <c r="R285" s="218">
        <f t="shared" si="103"/>
        <v>13.518518518518515</v>
      </c>
      <c r="S285" s="220">
        <f t="shared" si="104"/>
        <v>6.7592592592592577</v>
      </c>
      <c r="V285"/>
    </row>
    <row r="286" spans="2:22" hidden="1" outlineLevel="1">
      <c r="B286" s="55" t="s">
        <v>21</v>
      </c>
      <c r="C286" s="218">
        <f t="shared" ref="C286:J287" si="128">$P286*$L286</f>
        <v>0</v>
      </c>
      <c r="D286" s="218">
        <f t="shared" si="128"/>
        <v>0</v>
      </c>
      <c r="E286" s="218">
        <f t="shared" si="128"/>
        <v>0</v>
      </c>
      <c r="F286" s="218">
        <f t="shared" si="128"/>
        <v>0</v>
      </c>
      <c r="G286" s="218">
        <f t="shared" si="128"/>
        <v>0</v>
      </c>
      <c r="H286" s="218">
        <f t="shared" si="128"/>
        <v>0</v>
      </c>
      <c r="I286" s="218">
        <f t="shared" si="128"/>
        <v>0</v>
      </c>
      <c r="J286" s="218">
        <f t="shared" si="128"/>
        <v>0</v>
      </c>
      <c r="K286" s="47">
        <f t="shared" si="101"/>
        <v>0</v>
      </c>
      <c r="L286" s="140">
        <f t="shared" si="42"/>
        <v>0.125</v>
      </c>
      <c r="M286" s="48">
        <v>8</v>
      </c>
      <c r="O286" s="55" t="s">
        <v>21</v>
      </c>
      <c r="P286" s="128">
        <f>$A$148*(M286/$N$244)</f>
        <v>0</v>
      </c>
      <c r="Q286" s="219">
        <f t="shared" si="102"/>
        <v>0</v>
      </c>
      <c r="R286" s="218">
        <f t="shared" si="103"/>
        <v>0</v>
      </c>
      <c r="S286" s="220">
        <f t="shared" si="104"/>
        <v>0</v>
      </c>
      <c r="V286"/>
    </row>
    <row r="287" spans="2:22" hidden="1" outlineLevel="1">
      <c r="B287" s="55" t="s">
        <v>22</v>
      </c>
      <c r="C287" s="136"/>
      <c r="D287" s="219">
        <f t="shared" ref="D287" si="129">$P287*$L287*2</f>
        <v>16.5</v>
      </c>
      <c r="E287" s="218">
        <f t="shared" si="128"/>
        <v>8.25</v>
      </c>
      <c r="F287" s="218">
        <f t="shared" si="128"/>
        <v>8.25</v>
      </c>
      <c r="G287" s="218">
        <f t="shared" si="128"/>
        <v>8.25</v>
      </c>
      <c r="H287" s="218">
        <f t="shared" si="128"/>
        <v>8.25</v>
      </c>
      <c r="I287" s="218">
        <f t="shared" si="128"/>
        <v>8.25</v>
      </c>
      <c r="J287" s="218">
        <f t="shared" si="128"/>
        <v>8.25</v>
      </c>
      <c r="K287" s="47">
        <f t="shared" si="101"/>
        <v>66</v>
      </c>
      <c r="L287" s="140">
        <f t="shared" si="42"/>
        <v>0.125</v>
      </c>
      <c r="M287" s="48">
        <v>8</v>
      </c>
      <c r="O287" s="55" t="s">
        <v>22</v>
      </c>
      <c r="P287" s="128">
        <f>$A$149*(M287/$N$245)</f>
        <v>66</v>
      </c>
      <c r="Q287" s="219">
        <f t="shared" si="102"/>
        <v>16.5</v>
      </c>
      <c r="R287" s="218">
        <f t="shared" si="103"/>
        <v>8.25</v>
      </c>
      <c r="S287" s="220">
        <f t="shared" si="104"/>
        <v>4.125</v>
      </c>
      <c r="V287"/>
    </row>
    <row r="288" spans="2:22" hidden="1" outlineLevel="1">
      <c r="B288" s="226"/>
      <c r="C288" s="128">
        <f>SUM(C276:C287)</f>
        <v>0.51666666666666661</v>
      </c>
      <c r="D288" s="128">
        <f t="shared" ref="D288:J288" si="130">SUM(D276:D287)</f>
        <v>50.237377173091453</v>
      </c>
      <c r="E288" s="128">
        <f t="shared" si="130"/>
        <v>41.987377173091453</v>
      </c>
      <c r="F288" s="128">
        <f t="shared" si="130"/>
        <v>41.987377173091453</v>
      </c>
      <c r="G288" s="128">
        <f t="shared" si="130"/>
        <v>43.987377173091453</v>
      </c>
      <c r="H288" s="128">
        <f t="shared" si="130"/>
        <v>48.599622071050639</v>
      </c>
      <c r="I288" s="128">
        <f t="shared" si="130"/>
        <v>48.599622071050639</v>
      </c>
      <c r="J288" s="128">
        <f t="shared" si="130"/>
        <v>39.85404383975812</v>
      </c>
      <c r="K288" s="47"/>
      <c r="L288" s="140"/>
      <c r="M288" s="48"/>
      <c r="V288"/>
    </row>
    <row r="289" spans="2:22" hidden="1" outlineLevel="1">
      <c r="B289" s="226" t="s">
        <v>221</v>
      </c>
      <c r="C289" s="133" t="s">
        <v>206</v>
      </c>
      <c r="D289" s="133" t="s">
        <v>207</v>
      </c>
      <c r="E289" s="133" t="s">
        <v>208</v>
      </c>
      <c r="F289" s="133" t="s">
        <v>209</v>
      </c>
      <c r="G289" s="133" t="s">
        <v>210</v>
      </c>
      <c r="H289" s="133" t="s">
        <v>211</v>
      </c>
      <c r="I289" s="133" t="s">
        <v>212</v>
      </c>
      <c r="J289" s="133" t="s">
        <v>213</v>
      </c>
      <c r="K289" s="47"/>
      <c r="L289" s="140"/>
      <c r="M289" s="48"/>
      <c r="O289" t="s">
        <v>319</v>
      </c>
      <c r="V289"/>
    </row>
    <row r="290" spans="2:22" hidden="1" outlineLevel="1">
      <c r="B290" s="55" t="s">
        <v>6</v>
      </c>
      <c r="C290" s="218">
        <f t="shared" ref="C290:J291" si="131">$P290*$L290</f>
        <v>0.25</v>
      </c>
      <c r="D290" s="218">
        <f t="shared" si="131"/>
        <v>0.25</v>
      </c>
      <c r="E290" s="218">
        <f t="shared" si="131"/>
        <v>0.25</v>
      </c>
      <c r="F290" s="218">
        <f t="shared" si="131"/>
        <v>0.25</v>
      </c>
      <c r="G290" s="218">
        <f t="shared" si="131"/>
        <v>0.25</v>
      </c>
      <c r="H290" s="218">
        <f t="shared" si="131"/>
        <v>0.25</v>
      </c>
      <c r="I290" s="218">
        <f t="shared" si="131"/>
        <v>0.25</v>
      </c>
      <c r="J290" s="218">
        <f t="shared" si="131"/>
        <v>0.25</v>
      </c>
      <c r="K290" s="47">
        <f t="shared" ref="K290:K301" si="132">SUM(C290:J290)</f>
        <v>2</v>
      </c>
      <c r="L290" s="140">
        <f t="shared" si="42"/>
        <v>0.125</v>
      </c>
      <c r="M290" s="48">
        <v>8</v>
      </c>
      <c r="O290" s="55" t="s">
        <v>6</v>
      </c>
      <c r="P290" s="128">
        <f>$A$138*(M290/$N$234)</f>
        <v>2</v>
      </c>
      <c r="Q290" s="219">
        <f t="shared" ref="Q290:Q301" si="133">$P290*$L290*2</f>
        <v>0.5</v>
      </c>
      <c r="R290" s="218">
        <f t="shared" ref="R290:R301" si="134">$P290*$L290</f>
        <v>0.25</v>
      </c>
      <c r="S290" s="220">
        <f t="shared" ref="S290:S301" si="135">$P290*$L290/2</f>
        <v>0.125</v>
      </c>
      <c r="V290"/>
    </row>
    <row r="291" spans="2:22" hidden="1" outlineLevel="1">
      <c r="B291" s="55" t="s">
        <v>9</v>
      </c>
      <c r="C291" s="136"/>
      <c r="D291" s="218">
        <f t="shared" si="131"/>
        <v>3.5714285714285712</v>
      </c>
      <c r="E291" s="218">
        <f t="shared" si="131"/>
        <v>3.5714285714285712</v>
      </c>
      <c r="F291" s="218">
        <f t="shared" si="131"/>
        <v>3.5714285714285712</v>
      </c>
      <c r="G291" s="218">
        <f t="shared" si="131"/>
        <v>3.5714285714285712</v>
      </c>
      <c r="H291" s="218">
        <f t="shared" si="131"/>
        <v>3.5714285714285712</v>
      </c>
      <c r="I291" s="218">
        <f t="shared" si="131"/>
        <v>3.5714285714285712</v>
      </c>
      <c r="J291" s="218">
        <f t="shared" si="131"/>
        <v>3.5714285714285712</v>
      </c>
      <c r="K291" s="47">
        <f t="shared" si="132"/>
        <v>24.999999999999993</v>
      </c>
      <c r="L291" s="140">
        <f t="shared" si="42"/>
        <v>0.14285714285714285</v>
      </c>
      <c r="M291" s="48">
        <v>7</v>
      </c>
      <c r="O291" s="55" t="s">
        <v>9</v>
      </c>
      <c r="P291" s="128">
        <f>$A$139*(M291/$N$235)</f>
        <v>25</v>
      </c>
      <c r="Q291" s="219">
        <f t="shared" si="133"/>
        <v>7.1428571428571423</v>
      </c>
      <c r="R291" s="218">
        <f t="shared" si="134"/>
        <v>3.5714285714285712</v>
      </c>
      <c r="S291" s="220">
        <f t="shared" si="135"/>
        <v>1.7857142857142856</v>
      </c>
      <c r="V291"/>
    </row>
    <row r="292" spans="2:22" hidden="1" outlineLevel="1">
      <c r="B292" s="55" t="s">
        <v>11</v>
      </c>
      <c r="C292" s="218">
        <f t="shared" ref="C292:I293" si="136">$P292*$L292</f>
        <v>0.26666666666666666</v>
      </c>
      <c r="D292" s="218">
        <f t="shared" si="136"/>
        <v>0.26666666666666666</v>
      </c>
      <c r="E292" s="218">
        <f t="shared" si="136"/>
        <v>0.26666666666666666</v>
      </c>
      <c r="F292" s="218">
        <f t="shared" si="136"/>
        <v>0.26666666666666666</v>
      </c>
      <c r="G292" s="218">
        <f t="shared" si="136"/>
        <v>0.26666666666666666</v>
      </c>
      <c r="H292" s="218">
        <f t="shared" si="136"/>
        <v>0.26666666666666666</v>
      </c>
      <c r="I292" s="218">
        <f t="shared" si="136"/>
        <v>0.26666666666666666</v>
      </c>
      <c r="J292" s="220">
        <f t="shared" ref="J292" si="137">$P292*$L292/2</f>
        <v>0.13333333333333333</v>
      </c>
      <c r="K292" s="47">
        <f t="shared" si="132"/>
        <v>1.9999999999999998</v>
      </c>
      <c r="L292" s="140">
        <f t="shared" si="42"/>
        <v>0.13333333333333333</v>
      </c>
      <c r="M292" s="48">
        <v>7.5</v>
      </c>
      <c r="O292" s="55" t="s">
        <v>11</v>
      </c>
      <c r="P292" s="128">
        <f>$A$140*(M292/$N$236)</f>
        <v>2</v>
      </c>
      <c r="Q292" s="219">
        <f t="shared" si="133"/>
        <v>0.53333333333333333</v>
      </c>
      <c r="R292" s="218">
        <f t="shared" si="134"/>
        <v>0.26666666666666666</v>
      </c>
      <c r="S292" s="220">
        <f t="shared" si="135"/>
        <v>0.13333333333333333</v>
      </c>
      <c r="V292"/>
    </row>
    <row r="293" spans="2:22" hidden="1" outlineLevel="1">
      <c r="B293" s="55" t="s">
        <v>13</v>
      </c>
      <c r="C293" s="136"/>
      <c r="D293" s="220">
        <f t="shared" ref="D293:F293" si="138">$P293*$L293/2</f>
        <v>2</v>
      </c>
      <c r="E293" s="220">
        <f t="shared" si="138"/>
        <v>2</v>
      </c>
      <c r="F293" s="220">
        <f t="shared" si="138"/>
        <v>2</v>
      </c>
      <c r="G293" s="218">
        <f t="shared" si="136"/>
        <v>4</v>
      </c>
      <c r="H293" s="219">
        <f t="shared" ref="H293:I293" si="139">$P293*$L293*2</f>
        <v>8</v>
      </c>
      <c r="I293" s="219">
        <f t="shared" si="139"/>
        <v>8</v>
      </c>
      <c r="J293" s="136"/>
      <c r="K293" s="47">
        <f t="shared" si="132"/>
        <v>26</v>
      </c>
      <c r="L293" s="140">
        <f t="shared" si="42"/>
        <v>0.15384615384615385</v>
      </c>
      <c r="M293" s="48">
        <v>6.5</v>
      </c>
      <c r="O293" s="55" t="s">
        <v>13</v>
      </c>
      <c r="P293" s="128">
        <f>$A$141*(M293/$N$237)</f>
        <v>26</v>
      </c>
      <c r="Q293" s="219">
        <f t="shared" si="133"/>
        <v>8</v>
      </c>
      <c r="R293" s="218">
        <f t="shared" si="134"/>
        <v>4</v>
      </c>
      <c r="S293" s="220">
        <f t="shared" si="135"/>
        <v>2</v>
      </c>
      <c r="V293"/>
    </row>
    <row r="294" spans="2:22" hidden="1" outlineLevel="1">
      <c r="B294" s="55" t="s">
        <v>15</v>
      </c>
      <c r="C294" s="219">
        <f t="shared" ref="C294:E296" si="140">$P294*$L294*2</f>
        <v>0</v>
      </c>
      <c r="D294" s="219">
        <f t="shared" si="140"/>
        <v>0</v>
      </c>
      <c r="E294" s="218">
        <f t="shared" ref="E294:J296" si="141">$P294*$L294</f>
        <v>0</v>
      </c>
      <c r="F294" s="218">
        <f t="shared" si="141"/>
        <v>0</v>
      </c>
      <c r="G294" s="219">
        <f t="shared" ref="G294:H294" si="142">$P294*$L294*2</f>
        <v>0</v>
      </c>
      <c r="H294" s="219">
        <f t="shared" si="142"/>
        <v>0</v>
      </c>
      <c r="I294" s="220">
        <f t="shared" ref="I294:J294" si="143">$P294*$L294/2</f>
        <v>0</v>
      </c>
      <c r="J294" s="220">
        <f t="shared" si="143"/>
        <v>0</v>
      </c>
      <c r="K294" s="47">
        <f t="shared" si="132"/>
        <v>0</v>
      </c>
      <c r="L294" s="140">
        <f t="shared" si="42"/>
        <v>9.0909090909090912E-2</v>
      </c>
      <c r="M294" s="48">
        <v>11</v>
      </c>
      <c r="O294" s="55" t="s">
        <v>15</v>
      </c>
      <c r="P294" s="128">
        <f>$A$142*(M294/$N$238)</f>
        <v>0</v>
      </c>
      <c r="Q294" s="219">
        <f t="shared" si="133"/>
        <v>0</v>
      </c>
      <c r="R294" s="218">
        <f t="shared" si="134"/>
        <v>0</v>
      </c>
      <c r="S294" s="220">
        <f t="shared" si="135"/>
        <v>0</v>
      </c>
      <c r="V294"/>
    </row>
    <row r="295" spans="2:22" hidden="1" outlineLevel="1">
      <c r="B295" s="55" t="s">
        <v>16</v>
      </c>
      <c r="C295" s="136"/>
      <c r="D295" s="219">
        <f t="shared" si="140"/>
        <v>1.2244897959183674</v>
      </c>
      <c r="E295" s="219">
        <f t="shared" si="140"/>
        <v>1.2244897959183674</v>
      </c>
      <c r="F295" s="218">
        <f t="shared" si="141"/>
        <v>0.61224489795918369</v>
      </c>
      <c r="G295" s="218">
        <f t="shared" si="141"/>
        <v>0.61224489795918369</v>
      </c>
      <c r="H295" s="218">
        <f t="shared" si="141"/>
        <v>0.61224489795918369</v>
      </c>
      <c r="I295" s="218">
        <f t="shared" si="141"/>
        <v>0.61224489795918369</v>
      </c>
      <c r="J295" s="218">
        <f t="shared" si="141"/>
        <v>0.61224489795918369</v>
      </c>
      <c r="K295" s="47">
        <f t="shared" si="132"/>
        <v>5.5102040816326543</v>
      </c>
      <c r="L295" s="140">
        <f t="shared" si="42"/>
        <v>0.1111111111111111</v>
      </c>
      <c r="M295" s="48">
        <v>9</v>
      </c>
      <c r="O295" s="55" t="s">
        <v>16</v>
      </c>
      <c r="P295" s="128">
        <f>$A$143*(M295/$N$239)</f>
        <v>5.5102040816326534</v>
      </c>
      <c r="Q295" s="219">
        <f t="shared" si="133"/>
        <v>1.2244897959183674</v>
      </c>
      <c r="R295" s="218">
        <f t="shared" si="134"/>
        <v>0.61224489795918369</v>
      </c>
      <c r="S295" s="220">
        <f t="shared" si="135"/>
        <v>0.30612244897959184</v>
      </c>
      <c r="V295"/>
    </row>
    <row r="296" spans="2:22" hidden="1" outlineLevel="1">
      <c r="B296" s="55" t="s">
        <v>17</v>
      </c>
      <c r="C296" s="220">
        <f t="shared" ref="C296" si="144">$P296*$L296/2</f>
        <v>0</v>
      </c>
      <c r="D296" s="218">
        <f t="shared" ref="D296" si="145">$P296*$L296</f>
        <v>0</v>
      </c>
      <c r="E296" s="219">
        <f t="shared" si="140"/>
        <v>0</v>
      </c>
      <c r="F296" s="218">
        <f t="shared" si="141"/>
        <v>0</v>
      </c>
      <c r="G296" s="218">
        <f t="shared" si="141"/>
        <v>0</v>
      </c>
      <c r="H296" s="219">
        <f t="shared" ref="H296:I296" si="146">$P296*$L296*2</f>
        <v>0</v>
      </c>
      <c r="I296" s="219">
        <f t="shared" si="146"/>
        <v>0</v>
      </c>
      <c r="J296" s="220">
        <f t="shared" ref="J296" si="147">$P296*$L296/2</f>
        <v>0</v>
      </c>
      <c r="K296" s="47">
        <f t="shared" si="132"/>
        <v>0</v>
      </c>
      <c r="L296" s="140">
        <f t="shared" si="42"/>
        <v>0.1</v>
      </c>
      <c r="M296" s="48">
        <v>10</v>
      </c>
      <c r="N296" s="133"/>
      <c r="O296" s="55" t="s">
        <v>17</v>
      </c>
      <c r="P296" s="128">
        <f>$A$144*(M296/$N$240)</f>
        <v>0</v>
      </c>
      <c r="Q296" s="219">
        <f t="shared" si="133"/>
        <v>0</v>
      </c>
      <c r="R296" s="218">
        <f t="shared" si="134"/>
        <v>0</v>
      </c>
      <c r="S296" s="220">
        <f t="shared" si="135"/>
        <v>0</v>
      </c>
      <c r="V296"/>
    </row>
    <row r="297" spans="2:22" hidden="1" outlineLevel="1">
      <c r="B297" s="55" t="s">
        <v>18</v>
      </c>
      <c r="C297" s="219">
        <f t="shared" ref="C297" si="148">$P297*$L297*2</f>
        <v>0</v>
      </c>
      <c r="D297" s="220">
        <f t="shared" ref="D297:E297" si="149">$P297*$L297/2</f>
        <v>0</v>
      </c>
      <c r="E297" s="220">
        <f t="shared" si="149"/>
        <v>0</v>
      </c>
      <c r="F297" s="219">
        <f t="shared" ref="F297:G297" si="150">$P297*$L297*2</f>
        <v>0</v>
      </c>
      <c r="G297" s="219">
        <f t="shared" si="150"/>
        <v>0</v>
      </c>
      <c r="H297" s="220">
        <f t="shared" ref="H297:I297" si="151">$P297*$L297/2</f>
        <v>0</v>
      </c>
      <c r="I297" s="220">
        <f t="shared" si="151"/>
        <v>0</v>
      </c>
      <c r="J297" s="219">
        <f t="shared" ref="J297" si="152">$P297*$L297*2</f>
        <v>0</v>
      </c>
      <c r="K297" s="47">
        <f t="shared" si="132"/>
        <v>0</v>
      </c>
      <c r="L297" s="140">
        <f t="shared" si="42"/>
        <v>0.1</v>
      </c>
      <c r="M297" s="48">
        <v>10</v>
      </c>
      <c r="O297" s="55" t="s">
        <v>18</v>
      </c>
      <c r="P297" s="128">
        <f>$A$145*(M297/$N$241)</f>
        <v>0</v>
      </c>
      <c r="Q297" s="219">
        <f t="shared" si="133"/>
        <v>0</v>
      </c>
      <c r="R297" s="218">
        <f t="shared" si="134"/>
        <v>0</v>
      </c>
      <c r="S297" s="220">
        <f t="shared" si="135"/>
        <v>0</v>
      </c>
      <c r="V297"/>
    </row>
    <row r="298" spans="2:22" hidden="1" outlineLevel="1">
      <c r="B298" s="55" t="s">
        <v>19</v>
      </c>
      <c r="C298" s="220">
        <f t="shared" ref="C298" si="153">$P298*$L298/2</f>
        <v>0</v>
      </c>
      <c r="D298" s="218">
        <f t="shared" ref="D298:J299" si="154">$P298*$L298</f>
        <v>0</v>
      </c>
      <c r="E298" s="218">
        <f t="shared" si="154"/>
        <v>0</v>
      </c>
      <c r="F298" s="218">
        <f t="shared" si="154"/>
        <v>0</v>
      </c>
      <c r="G298" s="218">
        <f t="shared" si="154"/>
        <v>0</v>
      </c>
      <c r="H298" s="219">
        <f t="shared" ref="H298:I298" si="155">$P298*$L298*2</f>
        <v>0</v>
      </c>
      <c r="I298" s="219">
        <f t="shared" si="155"/>
        <v>0</v>
      </c>
      <c r="J298" s="218">
        <f t="shared" ref="J298" si="156">$P298*$L298</f>
        <v>0</v>
      </c>
      <c r="K298" s="47">
        <f t="shared" si="132"/>
        <v>0</v>
      </c>
      <c r="L298" s="140">
        <f t="shared" si="42"/>
        <v>0.10526315789473684</v>
      </c>
      <c r="M298" s="48">
        <v>9.5</v>
      </c>
      <c r="O298" s="55" t="s">
        <v>19</v>
      </c>
      <c r="P298" s="128">
        <f>$A$146*(M298/$N$242)</f>
        <v>0</v>
      </c>
      <c r="Q298" s="219">
        <f t="shared" si="133"/>
        <v>0</v>
      </c>
      <c r="R298" s="218">
        <f t="shared" si="134"/>
        <v>0</v>
      </c>
      <c r="S298" s="220">
        <f t="shared" si="135"/>
        <v>0</v>
      </c>
      <c r="V298"/>
    </row>
    <row r="299" spans="2:22" hidden="1" outlineLevel="1">
      <c r="B299" s="55" t="s">
        <v>20</v>
      </c>
      <c r="C299" s="136"/>
      <c r="D299" s="218">
        <f t="shared" si="154"/>
        <v>13.518518518518515</v>
      </c>
      <c r="E299" s="218">
        <f t="shared" si="154"/>
        <v>13.518518518518515</v>
      </c>
      <c r="F299" s="218">
        <f t="shared" si="154"/>
        <v>13.518518518518515</v>
      </c>
      <c r="G299" s="218">
        <f t="shared" si="154"/>
        <v>13.518518518518515</v>
      </c>
      <c r="H299" s="218">
        <f t="shared" si="154"/>
        <v>13.518518518518515</v>
      </c>
      <c r="I299" s="218">
        <f t="shared" si="154"/>
        <v>13.518518518518515</v>
      </c>
      <c r="J299" s="218">
        <f t="shared" si="154"/>
        <v>13.518518518518515</v>
      </c>
      <c r="K299" s="47">
        <f t="shared" si="132"/>
        <v>94.629629629629619</v>
      </c>
      <c r="L299" s="140">
        <f t="shared" si="42"/>
        <v>0.14285714285714285</v>
      </c>
      <c r="M299" s="48">
        <v>7</v>
      </c>
      <c r="O299" s="55" t="s">
        <v>20</v>
      </c>
      <c r="P299" s="128">
        <f>$A$147*(M299/$N$243)</f>
        <v>94.629629629629619</v>
      </c>
      <c r="Q299" s="219">
        <f t="shared" si="133"/>
        <v>27.037037037037031</v>
      </c>
      <c r="R299" s="218">
        <f t="shared" si="134"/>
        <v>13.518518518518515</v>
      </c>
      <c r="S299" s="220">
        <f t="shared" si="135"/>
        <v>6.7592592592592577</v>
      </c>
      <c r="V299"/>
    </row>
    <row r="300" spans="2:22" hidden="1" outlineLevel="1">
      <c r="B300" s="55" t="s">
        <v>21</v>
      </c>
      <c r="C300" s="218">
        <f t="shared" ref="C300:J301" si="157">$P300*$L300</f>
        <v>0</v>
      </c>
      <c r="D300" s="218">
        <f t="shared" si="157"/>
        <v>0</v>
      </c>
      <c r="E300" s="218">
        <f t="shared" si="157"/>
        <v>0</v>
      </c>
      <c r="F300" s="218">
        <f t="shared" si="157"/>
        <v>0</v>
      </c>
      <c r="G300" s="218">
        <f t="shared" si="157"/>
        <v>0</v>
      </c>
      <c r="H300" s="218">
        <f t="shared" si="157"/>
        <v>0</v>
      </c>
      <c r="I300" s="218">
        <f t="shared" si="157"/>
        <v>0</v>
      </c>
      <c r="J300" s="218">
        <f t="shared" si="157"/>
        <v>0</v>
      </c>
      <c r="K300" s="47">
        <f t="shared" si="132"/>
        <v>0</v>
      </c>
      <c r="L300" s="140">
        <f t="shared" si="42"/>
        <v>0.125</v>
      </c>
      <c r="M300" s="48">
        <v>8</v>
      </c>
      <c r="O300" s="55" t="s">
        <v>21</v>
      </c>
      <c r="P300" s="128">
        <f>$A$148*(M300/$N$244)</f>
        <v>0</v>
      </c>
      <c r="Q300" s="219">
        <f t="shared" si="133"/>
        <v>0</v>
      </c>
      <c r="R300" s="218">
        <f t="shared" si="134"/>
        <v>0</v>
      </c>
      <c r="S300" s="220">
        <f t="shared" si="135"/>
        <v>0</v>
      </c>
      <c r="V300"/>
    </row>
    <row r="301" spans="2:22" hidden="1" outlineLevel="1">
      <c r="B301" s="55" t="s">
        <v>22</v>
      </c>
      <c r="C301" s="136"/>
      <c r="D301" s="219">
        <f t="shared" ref="D301" si="158">$P301*$L301*2</f>
        <v>16.5</v>
      </c>
      <c r="E301" s="218">
        <f t="shared" si="157"/>
        <v>8.25</v>
      </c>
      <c r="F301" s="218">
        <f t="shared" si="157"/>
        <v>8.25</v>
      </c>
      <c r="G301" s="218">
        <f t="shared" si="157"/>
        <v>8.25</v>
      </c>
      <c r="H301" s="218">
        <f t="shared" si="157"/>
        <v>8.25</v>
      </c>
      <c r="I301" s="218">
        <f t="shared" si="157"/>
        <v>8.25</v>
      </c>
      <c r="J301" s="218">
        <f t="shared" si="157"/>
        <v>8.25</v>
      </c>
      <c r="K301" s="47">
        <f t="shared" si="132"/>
        <v>66</v>
      </c>
      <c r="L301" s="140">
        <f t="shared" si="42"/>
        <v>0.125</v>
      </c>
      <c r="M301" s="48">
        <v>8</v>
      </c>
      <c r="O301" s="55" t="s">
        <v>22</v>
      </c>
      <c r="P301" s="128">
        <f>$A$149*(M301/$N$245)</f>
        <v>66</v>
      </c>
      <c r="Q301" s="219">
        <f t="shared" si="133"/>
        <v>16.5</v>
      </c>
      <c r="R301" s="218">
        <f t="shared" si="134"/>
        <v>8.25</v>
      </c>
      <c r="S301" s="220">
        <f t="shared" si="135"/>
        <v>4.125</v>
      </c>
      <c r="V301"/>
    </row>
    <row r="302" spans="2:22" hidden="1" outlineLevel="1">
      <c r="B302" s="226"/>
      <c r="C302" s="128">
        <f>SUM(C290:C301)</f>
        <v>0.51666666666666661</v>
      </c>
      <c r="D302" s="128">
        <f t="shared" ref="D302:J302" si="159">SUM(D290:D301)</f>
        <v>37.33110355253212</v>
      </c>
      <c r="E302" s="128">
        <f t="shared" si="159"/>
        <v>29.08110355253212</v>
      </c>
      <c r="F302" s="128">
        <f t="shared" si="159"/>
        <v>28.468858654572937</v>
      </c>
      <c r="G302" s="128">
        <f t="shared" si="159"/>
        <v>30.468858654572937</v>
      </c>
      <c r="H302" s="128">
        <f t="shared" si="159"/>
        <v>34.468858654572941</v>
      </c>
      <c r="I302" s="128">
        <f t="shared" si="159"/>
        <v>34.468858654572941</v>
      </c>
      <c r="J302" s="128">
        <f t="shared" si="159"/>
        <v>26.335525321239604</v>
      </c>
      <c r="K302" s="47"/>
      <c r="L302" s="140"/>
      <c r="M302" s="48"/>
      <c r="V302"/>
    </row>
    <row r="303" spans="2:22" hidden="1" outlineLevel="1">
      <c r="B303" s="226" t="s">
        <v>223</v>
      </c>
      <c r="C303" s="133" t="s">
        <v>206</v>
      </c>
      <c r="D303" s="133" t="s">
        <v>207</v>
      </c>
      <c r="E303" s="133" t="s">
        <v>208</v>
      </c>
      <c r="F303" s="133" t="s">
        <v>209</v>
      </c>
      <c r="G303" s="133" t="s">
        <v>210</v>
      </c>
      <c r="H303" s="133" t="s">
        <v>211</v>
      </c>
      <c r="I303" s="133" t="s">
        <v>212</v>
      </c>
      <c r="J303" s="133" t="s">
        <v>213</v>
      </c>
      <c r="K303" s="47"/>
      <c r="L303" s="140"/>
      <c r="M303" s="48"/>
      <c r="O303" t="s">
        <v>319</v>
      </c>
      <c r="V303"/>
    </row>
    <row r="304" spans="2:22" hidden="1" outlineLevel="1">
      <c r="B304" s="55" t="s">
        <v>6</v>
      </c>
      <c r="C304" s="218">
        <f t="shared" ref="C304:J305" si="160">$P304*$L304</f>
        <v>0.25</v>
      </c>
      <c r="D304" s="218">
        <f t="shared" si="160"/>
        <v>0.25</v>
      </c>
      <c r="E304" s="218">
        <f t="shared" si="160"/>
        <v>0.25</v>
      </c>
      <c r="F304" s="218">
        <f t="shared" si="160"/>
        <v>0.25</v>
      </c>
      <c r="G304" s="218">
        <f t="shared" si="160"/>
        <v>0.25</v>
      </c>
      <c r="H304" s="218">
        <f t="shared" si="160"/>
        <v>0.25</v>
      </c>
      <c r="I304" s="218">
        <f t="shared" si="160"/>
        <v>0.25</v>
      </c>
      <c r="J304" s="218">
        <f t="shared" si="160"/>
        <v>0.25</v>
      </c>
      <c r="K304" s="47">
        <f t="shared" ref="K304:K312" si="161">SUM(C304:J304)</f>
        <v>2</v>
      </c>
      <c r="L304" s="140">
        <f t="shared" si="42"/>
        <v>0.125</v>
      </c>
      <c r="M304" s="48">
        <v>8</v>
      </c>
      <c r="O304" s="55" t="s">
        <v>6</v>
      </c>
      <c r="P304" s="128">
        <f>$A$138*(M304/$N$234)</f>
        <v>2</v>
      </c>
      <c r="Q304" s="219">
        <f t="shared" ref="Q304:Q315" si="162">$P304*$L304*2</f>
        <v>0.5</v>
      </c>
      <c r="R304" s="218">
        <f t="shared" ref="R304:R315" si="163">$P304*$L304</f>
        <v>0.25</v>
      </c>
      <c r="S304" s="220">
        <f t="shared" ref="S304:S315" si="164">$P304*$L304/2</f>
        <v>0.125</v>
      </c>
      <c r="V304"/>
    </row>
    <row r="305" spans="2:22" hidden="1" outlineLevel="1">
      <c r="B305" s="55" t="s">
        <v>9</v>
      </c>
      <c r="C305" s="136"/>
      <c r="D305" s="218">
        <f t="shared" si="160"/>
        <v>3.5714285714285712</v>
      </c>
      <c r="E305" s="218">
        <f t="shared" si="160"/>
        <v>3.5714285714285712</v>
      </c>
      <c r="F305" s="218">
        <f t="shared" si="160"/>
        <v>3.5714285714285712</v>
      </c>
      <c r="G305" s="218">
        <f t="shared" si="160"/>
        <v>3.5714285714285712</v>
      </c>
      <c r="H305" s="218">
        <f t="shared" si="160"/>
        <v>3.5714285714285712</v>
      </c>
      <c r="I305" s="218">
        <f t="shared" si="160"/>
        <v>3.5714285714285712</v>
      </c>
      <c r="J305" s="218">
        <f t="shared" si="160"/>
        <v>3.5714285714285712</v>
      </c>
      <c r="K305" s="47">
        <f t="shared" si="161"/>
        <v>24.999999999999993</v>
      </c>
      <c r="L305" s="140">
        <f t="shared" si="42"/>
        <v>0.14285714285714285</v>
      </c>
      <c r="M305" s="48">
        <v>7</v>
      </c>
      <c r="O305" s="55" t="s">
        <v>9</v>
      </c>
      <c r="P305" s="128">
        <f>$A$139*(M305/$N$235)</f>
        <v>25</v>
      </c>
      <c r="Q305" s="219">
        <f t="shared" si="162"/>
        <v>7.1428571428571423</v>
      </c>
      <c r="R305" s="218">
        <f t="shared" si="163"/>
        <v>3.5714285714285712</v>
      </c>
      <c r="S305" s="220">
        <f t="shared" si="164"/>
        <v>1.7857142857142856</v>
      </c>
      <c r="V305"/>
    </row>
    <row r="306" spans="2:22" hidden="1" outlineLevel="1">
      <c r="B306" s="55" t="s">
        <v>11</v>
      </c>
      <c r="C306" s="218">
        <f t="shared" ref="C306:I307" si="165">$P306*$L306</f>
        <v>0.26666666666666666</v>
      </c>
      <c r="D306" s="218">
        <f t="shared" si="165"/>
        <v>0.26666666666666666</v>
      </c>
      <c r="E306" s="218">
        <f t="shared" si="165"/>
        <v>0.26666666666666666</v>
      </c>
      <c r="F306" s="218">
        <f t="shared" si="165"/>
        <v>0.26666666666666666</v>
      </c>
      <c r="G306" s="218">
        <f t="shared" si="165"/>
        <v>0.26666666666666666</v>
      </c>
      <c r="H306" s="218">
        <f t="shared" si="165"/>
        <v>0.26666666666666666</v>
      </c>
      <c r="I306" s="218">
        <f t="shared" si="165"/>
        <v>0.26666666666666666</v>
      </c>
      <c r="J306" s="220">
        <f t="shared" ref="J306" si="166">$P306*$L306/2</f>
        <v>0.13333333333333333</v>
      </c>
      <c r="K306" s="47">
        <f t="shared" si="161"/>
        <v>1.9999999999999998</v>
      </c>
      <c r="L306" s="140">
        <f t="shared" si="42"/>
        <v>0.13333333333333333</v>
      </c>
      <c r="M306" s="48">
        <v>7.5</v>
      </c>
      <c r="O306" s="55" t="s">
        <v>11</v>
      </c>
      <c r="P306" s="128">
        <f>$A$140*(M306/$N$236)</f>
        <v>2</v>
      </c>
      <c r="Q306" s="219">
        <f t="shared" si="162"/>
        <v>0.53333333333333333</v>
      </c>
      <c r="R306" s="218">
        <f t="shared" si="163"/>
        <v>0.26666666666666666</v>
      </c>
      <c r="S306" s="220">
        <f t="shared" si="164"/>
        <v>0.13333333333333333</v>
      </c>
      <c r="V306"/>
    </row>
    <row r="307" spans="2:22" hidden="1" outlineLevel="1">
      <c r="B307" s="55" t="s">
        <v>13</v>
      </c>
      <c r="C307" s="136"/>
      <c r="D307" s="220">
        <f t="shared" ref="D307:F307" si="167">$P307*$L307/2</f>
        <v>2</v>
      </c>
      <c r="E307" s="220">
        <f t="shared" si="167"/>
        <v>2</v>
      </c>
      <c r="F307" s="220">
        <f t="shared" si="167"/>
        <v>2</v>
      </c>
      <c r="G307" s="218">
        <f t="shared" si="165"/>
        <v>4</v>
      </c>
      <c r="H307" s="219">
        <f t="shared" ref="H307:I307" si="168">$P307*$L307*2</f>
        <v>8</v>
      </c>
      <c r="I307" s="219">
        <f t="shared" si="168"/>
        <v>8</v>
      </c>
      <c r="J307" s="136"/>
      <c r="K307" s="47">
        <f t="shared" si="161"/>
        <v>26</v>
      </c>
      <c r="L307" s="140">
        <f t="shared" si="42"/>
        <v>0.15384615384615385</v>
      </c>
      <c r="M307" s="48">
        <v>6.5</v>
      </c>
      <c r="O307" s="55" t="s">
        <v>13</v>
      </c>
      <c r="P307" s="128">
        <f>$A$141*(M307/$N$237)</f>
        <v>26</v>
      </c>
      <c r="Q307" s="219">
        <f t="shared" si="162"/>
        <v>8</v>
      </c>
      <c r="R307" s="218">
        <f t="shared" si="163"/>
        <v>4</v>
      </c>
      <c r="S307" s="220">
        <f t="shared" si="164"/>
        <v>2</v>
      </c>
      <c r="V307"/>
    </row>
    <row r="308" spans="2:22" hidden="1" outlineLevel="1">
      <c r="B308" s="55" t="s">
        <v>15</v>
      </c>
      <c r="C308" s="219">
        <f t="shared" ref="C308:E310" si="169">$P308*$L308*2</f>
        <v>0</v>
      </c>
      <c r="D308" s="219">
        <f t="shared" si="169"/>
        <v>0</v>
      </c>
      <c r="E308" s="218">
        <f t="shared" ref="E308:J310" si="170">$P308*$L308</f>
        <v>0</v>
      </c>
      <c r="F308" s="218">
        <f t="shared" si="170"/>
        <v>0</v>
      </c>
      <c r="G308" s="219">
        <f t="shared" ref="G308:H308" si="171">$P308*$L308*2</f>
        <v>0</v>
      </c>
      <c r="H308" s="219">
        <f t="shared" si="171"/>
        <v>0</v>
      </c>
      <c r="I308" s="220">
        <f t="shared" ref="I308:J308" si="172">$P308*$L308/2</f>
        <v>0</v>
      </c>
      <c r="J308" s="220">
        <f t="shared" si="172"/>
        <v>0</v>
      </c>
      <c r="K308" s="47">
        <f t="shared" si="161"/>
        <v>0</v>
      </c>
      <c r="L308" s="140">
        <f t="shared" si="42"/>
        <v>9.0909090909090912E-2</v>
      </c>
      <c r="M308" s="48">
        <v>11</v>
      </c>
      <c r="O308" s="55" t="s">
        <v>15</v>
      </c>
      <c r="P308" s="128">
        <f>$A$142*(M308/$N$238)</f>
        <v>0</v>
      </c>
      <c r="Q308" s="219">
        <f t="shared" si="162"/>
        <v>0</v>
      </c>
      <c r="R308" s="218">
        <f t="shared" si="163"/>
        <v>0</v>
      </c>
      <c r="S308" s="220">
        <f t="shared" si="164"/>
        <v>0</v>
      </c>
      <c r="V308"/>
    </row>
    <row r="309" spans="2:22" hidden="1" outlineLevel="1">
      <c r="B309" s="55" t="s">
        <v>16</v>
      </c>
      <c r="C309" s="136"/>
      <c r="D309" s="219">
        <f t="shared" si="169"/>
        <v>1.2244897959183674</v>
      </c>
      <c r="E309" s="219">
        <f t="shared" si="169"/>
        <v>1.2244897959183674</v>
      </c>
      <c r="F309" s="218">
        <f t="shared" si="170"/>
        <v>0.61224489795918369</v>
      </c>
      <c r="G309" s="218">
        <f t="shared" si="170"/>
        <v>0.61224489795918369</v>
      </c>
      <c r="H309" s="218">
        <f t="shared" si="170"/>
        <v>0.61224489795918369</v>
      </c>
      <c r="I309" s="218">
        <f t="shared" si="170"/>
        <v>0.61224489795918369</v>
      </c>
      <c r="J309" s="218">
        <f t="shared" si="170"/>
        <v>0.61224489795918369</v>
      </c>
      <c r="K309" s="47">
        <f t="shared" si="161"/>
        <v>5.5102040816326543</v>
      </c>
      <c r="L309" s="140">
        <f t="shared" si="42"/>
        <v>0.1111111111111111</v>
      </c>
      <c r="M309" s="48">
        <v>9</v>
      </c>
      <c r="O309" s="55" t="s">
        <v>16</v>
      </c>
      <c r="P309" s="128">
        <f>$A$143*(M309/$N$239)</f>
        <v>5.5102040816326534</v>
      </c>
      <c r="Q309" s="219">
        <f t="shared" si="162"/>
        <v>1.2244897959183674</v>
      </c>
      <c r="R309" s="218">
        <f t="shared" si="163"/>
        <v>0.61224489795918369</v>
      </c>
      <c r="S309" s="220">
        <f t="shared" si="164"/>
        <v>0.30612244897959184</v>
      </c>
      <c r="V309"/>
    </row>
    <row r="310" spans="2:22" hidden="1" outlineLevel="1">
      <c r="B310" s="55" t="s">
        <v>17</v>
      </c>
      <c r="C310" s="220">
        <f t="shared" ref="C310" si="173">$P310*$L310/2</f>
        <v>0</v>
      </c>
      <c r="D310" s="218">
        <f t="shared" ref="D310" si="174">$P310*$L310</f>
        <v>0</v>
      </c>
      <c r="E310" s="219">
        <f t="shared" si="169"/>
        <v>0</v>
      </c>
      <c r="F310" s="218">
        <f t="shared" si="170"/>
        <v>0</v>
      </c>
      <c r="G310" s="218">
        <f t="shared" si="170"/>
        <v>0</v>
      </c>
      <c r="H310" s="219">
        <f t="shared" ref="H310:I310" si="175">$P310*$L310*2</f>
        <v>0</v>
      </c>
      <c r="I310" s="219">
        <f t="shared" si="175"/>
        <v>0</v>
      </c>
      <c r="J310" s="220">
        <f t="shared" ref="J310" si="176">$P310*$L310/2</f>
        <v>0</v>
      </c>
      <c r="K310" s="47">
        <f t="shared" si="161"/>
        <v>0</v>
      </c>
      <c r="L310" s="140">
        <f t="shared" si="42"/>
        <v>0.1</v>
      </c>
      <c r="M310" s="48">
        <v>10</v>
      </c>
      <c r="O310" s="55" t="s">
        <v>17</v>
      </c>
      <c r="P310" s="128">
        <f>$A$144*(M310/$N$240)</f>
        <v>0</v>
      </c>
      <c r="Q310" s="219">
        <f t="shared" si="162"/>
        <v>0</v>
      </c>
      <c r="R310" s="218">
        <f t="shared" si="163"/>
        <v>0</v>
      </c>
      <c r="S310" s="220">
        <f t="shared" si="164"/>
        <v>0</v>
      </c>
      <c r="V310"/>
    </row>
    <row r="311" spans="2:22" hidden="1" outlineLevel="1">
      <c r="B311" s="55" t="s">
        <v>18</v>
      </c>
      <c r="C311" s="219">
        <f t="shared" ref="C311" si="177">$P311*$L311*2</f>
        <v>0</v>
      </c>
      <c r="D311" s="220">
        <f t="shared" ref="D311:E311" si="178">$P311*$L311/2</f>
        <v>0</v>
      </c>
      <c r="E311" s="220">
        <f t="shared" si="178"/>
        <v>0</v>
      </c>
      <c r="F311" s="219">
        <f t="shared" ref="F311:G311" si="179">$P311*$L311*2</f>
        <v>0</v>
      </c>
      <c r="G311" s="219">
        <f t="shared" si="179"/>
        <v>0</v>
      </c>
      <c r="H311" s="220">
        <f t="shared" ref="H311:I311" si="180">$P311*$L311/2</f>
        <v>0</v>
      </c>
      <c r="I311" s="220">
        <f t="shared" si="180"/>
        <v>0</v>
      </c>
      <c r="J311" s="219">
        <f t="shared" ref="J311" si="181">$P311*$L311*2</f>
        <v>0</v>
      </c>
      <c r="K311" s="47">
        <f t="shared" si="161"/>
        <v>0</v>
      </c>
      <c r="L311" s="140">
        <f t="shared" si="42"/>
        <v>0.1</v>
      </c>
      <c r="M311" s="48">
        <v>10</v>
      </c>
      <c r="O311" s="55" t="s">
        <v>18</v>
      </c>
      <c r="P311" s="128">
        <f>$A$145*(M311/$N$241)</f>
        <v>0</v>
      </c>
      <c r="Q311" s="219">
        <f t="shared" si="162"/>
        <v>0</v>
      </c>
      <c r="R311" s="218">
        <f t="shared" si="163"/>
        <v>0</v>
      </c>
      <c r="S311" s="220">
        <f t="shared" si="164"/>
        <v>0</v>
      </c>
      <c r="V311"/>
    </row>
    <row r="312" spans="2:22" hidden="1" outlineLevel="1">
      <c r="B312" s="55" t="s">
        <v>19</v>
      </c>
      <c r="C312" s="220">
        <f t="shared" ref="C312" si="182">$P312*$L312/2</f>
        <v>0</v>
      </c>
      <c r="D312" s="218">
        <f t="shared" ref="D312:G313" si="183">$P312*$L312</f>
        <v>0</v>
      </c>
      <c r="E312" s="218">
        <f t="shared" si="183"/>
        <v>0</v>
      </c>
      <c r="F312" s="218">
        <f t="shared" si="183"/>
        <v>0</v>
      </c>
      <c r="G312" s="218">
        <f t="shared" si="183"/>
        <v>0</v>
      </c>
      <c r="H312" s="219">
        <f t="shared" ref="H312:I312" si="184">$P312*$L312*2</f>
        <v>0</v>
      </c>
      <c r="I312" s="219">
        <f t="shared" si="184"/>
        <v>0</v>
      </c>
      <c r="J312" s="218">
        <f t="shared" ref="J312" si="185">$P312*$L312</f>
        <v>0</v>
      </c>
      <c r="K312" s="47">
        <f t="shared" si="161"/>
        <v>0</v>
      </c>
      <c r="L312" s="140">
        <f t="shared" si="42"/>
        <v>0.10526315789473684</v>
      </c>
      <c r="M312" s="48">
        <v>9.5</v>
      </c>
      <c r="O312" s="55" t="s">
        <v>19</v>
      </c>
      <c r="P312" s="128">
        <f>$A$146*(M312/$N$242)</f>
        <v>0</v>
      </c>
      <c r="Q312" s="219">
        <f t="shared" si="162"/>
        <v>0</v>
      </c>
      <c r="R312" s="218">
        <f t="shared" si="163"/>
        <v>0</v>
      </c>
      <c r="S312" s="220">
        <f t="shared" si="164"/>
        <v>0</v>
      </c>
      <c r="V312"/>
    </row>
    <row r="313" spans="2:22" hidden="1" outlineLevel="1">
      <c r="B313" s="55" t="s">
        <v>20</v>
      </c>
      <c r="C313" s="136"/>
      <c r="D313" s="218">
        <f t="shared" si="183"/>
        <v>13.518518518518519</v>
      </c>
      <c r="E313" s="218">
        <f t="shared" si="183"/>
        <v>13.518518518518519</v>
      </c>
      <c r="F313" s="218">
        <f t="shared" si="183"/>
        <v>13.518518518518519</v>
      </c>
      <c r="G313" s="220">
        <f t="shared" ref="G313:J313" si="186">$P313*$L313/2</f>
        <v>6.7592592592592595</v>
      </c>
      <c r="H313" s="220">
        <f t="shared" si="186"/>
        <v>6.7592592592592595</v>
      </c>
      <c r="I313" s="220">
        <f t="shared" si="186"/>
        <v>6.7592592592592595</v>
      </c>
      <c r="J313" s="220">
        <f t="shared" si="186"/>
        <v>6.7592592592592595</v>
      </c>
      <c r="K313" s="47">
        <f>SUM(C313:J313)</f>
        <v>67.592592592592595</v>
      </c>
      <c r="L313" s="140">
        <f t="shared" ref="L313:L315" si="187">1/M313</f>
        <v>0.2</v>
      </c>
      <c r="M313" s="48">
        <v>5</v>
      </c>
      <c r="O313" s="55" t="s">
        <v>20</v>
      </c>
      <c r="P313" s="128">
        <f>$A$147*(M313/$N$243)</f>
        <v>67.592592592592595</v>
      </c>
      <c r="Q313" s="219">
        <f t="shared" si="162"/>
        <v>27.037037037037038</v>
      </c>
      <c r="R313" s="218">
        <f t="shared" si="163"/>
        <v>13.518518518518519</v>
      </c>
      <c r="S313" s="220">
        <f t="shared" si="164"/>
        <v>6.7592592592592595</v>
      </c>
      <c r="V313"/>
    </row>
    <row r="314" spans="2:22" hidden="1" outlineLevel="1">
      <c r="B314" s="55" t="s">
        <v>21</v>
      </c>
      <c r="C314" s="218">
        <f t="shared" ref="C314:J315" si="188">$P314*$L314</f>
        <v>0</v>
      </c>
      <c r="D314" s="218">
        <f t="shared" si="188"/>
        <v>0</v>
      </c>
      <c r="E314" s="218">
        <f t="shared" si="188"/>
        <v>0</v>
      </c>
      <c r="F314" s="218">
        <f t="shared" si="188"/>
        <v>0</v>
      </c>
      <c r="G314" s="218">
        <f t="shared" si="188"/>
        <v>0</v>
      </c>
      <c r="H314" s="218">
        <f t="shared" si="188"/>
        <v>0</v>
      </c>
      <c r="I314" s="218">
        <f t="shared" si="188"/>
        <v>0</v>
      </c>
      <c r="J314" s="218">
        <f t="shared" si="188"/>
        <v>0</v>
      </c>
      <c r="K314" s="47">
        <f t="shared" ref="K314:K315" si="189">SUM(C314:J314)</f>
        <v>0</v>
      </c>
      <c r="L314" s="140">
        <f t="shared" si="187"/>
        <v>0.125</v>
      </c>
      <c r="M314" s="48">
        <v>8</v>
      </c>
      <c r="O314" s="55" t="s">
        <v>21</v>
      </c>
      <c r="P314" s="128">
        <f>$A$148*(M314/$N$244)</f>
        <v>0</v>
      </c>
      <c r="Q314" s="219">
        <f t="shared" si="162"/>
        <v>0</v>
      </c>
      <c r="R314" s="218">
        <f t="shared" si="163"/>
        <v>0</v>
      </c>
      <c r="S314" s="220">
        <f t="shared" si="164"/>
        <v>0</v>
      </c>
      <c r="V314"/>
    </row>
    <row r="315" spans="2:22" hidden="1" outlineLevel="1">
      <c r="B315" s="55" t="s">
        <v>22</v>
      </c>
      <c r="C315" s="136"/>
      <c r="D315" s="219">
        <f t="shared" ref="D315" si="190">$P315*$L315*2</f>
        <v>16.5</v>
      </c>
      <c r="E315" s="218">
        <f t="shared" si="188"/>
        <v>8.25</v>
      </c>
      <c r="F315" s="218">
        <f t="shared" si="188"/>
        <v>8.25</v>
      </c>
      <c r="G315" s="218">
        <f t="shared" si="188"/>
        <v>8.25</v>
      </c>
      <c r="H315" s="218">
        <f t="shared" si="188"/>
        <v>8.25</v>
      </c>
      <c r="I315" s="218">
        <f t="shared" si="188"/>
        <v>8.25</v>
      </c>
      <c r="J315" s="218">
        <f t="shared" si="188"/>
        <v>8.25</v>
      </c>
      <c r="K315" s="47">
        <f t="shared" si="189"/>
        <v>66</v>
      </c>
      <c r="L315" s="140">
        <f t="shared" si="187"/>
        <v>0.125</v>
      </c>
      <c r="M315" s="48">
        <v>8</v>
      </c>
      <c r="O315" s="55" t="s">
        <v>22</v>
      </c>
      <c r="P315" s="128">
        <f>$A$149*(M315/$N$245)</f>
        <v>66</v>
      </c>
      <c r="Q315" s="219">
        <f t="shared" si="162"/>
        <v>16.5</v>
      </c>
      <c r="R315" s="218">
        <f t="shared" si="163"/>
        <v>8.25</v>
      </c>
      <c r="S315" s="220">
        <f t="shared" si="164"/>
        <v>4.125</v>
      </c>
      <c r="V315"/>
    </row>
    <row r="316" spans="2:22" hidden="1" outlineLevel="1">
      <c r="C316" s="128">
        <f>SUM(C304:C315)</f>
        <v>0.51666666666666661</v>
      </c>
      <c r="D316" s="128">
        <f t="shared" ref="D316:J316" si="191">SUM(D304:D315)</f>
        <v>37.331103552532127</v>
      </c>
      <c r="E316" s="128">
        <f t="shared" si="191"/>
        <v>29.081103552532124</v>
      </c>
      <c r="F316" s="128">
        <f t="shared" si="191"/>
        <v>28.468858654572941</v>
      </c>
      <c r="G316" s="128">
        <f t="shared" si="191"/>
        <v>23.709599395313681</v>
      </c>
      <c r="H316" s="128">
        <f t="shared" si="191"/>
        <v>27.709599395313681</v>
      </c>
      <c r="I316" s="128">
        <f t="shared" si="191"/>
        <v>27.709599395313681</v>
      </c>
      <c r="J316" s="128">
        <f t="shared" si="191"/>
        <v>19.576266061980348</v>
      </c>
      <c r="V316"/>
    </row>
    <row r="317" spans="2:22" hidden="1" outlineLevel="1">
      <c r="V317"/>
    </row>
    <row r="318" spans="2:22" hidden="1" outlineLevel="1">
      <c r="K318" s="41"/>
      <c r="V318"/>
    </row>
    <row r="319" spans="2:22" hidden="1" outlineLevel="1">
      <c r="B319" s="136"/>
      <c r="C319" s="227" t="s">
        <v>206</v>
      </c>
      <c r="D319" s="227" t="s">
        <v>207</v>
      </c>
      <c r="E319" s="227" t="s">
        <v>208</v>
      </c>
      <c r="F319" s="227" t="s">
        <v>209</v>
      </c>
      <c r="G319" s="227" t="s">
        <v>210</v>
      </c>
      <c r="H319" s="227" t="s">
        <v>211</v>
      </c>
      <c r="I319" s="227" t="s">
        <v>212</v>
      </c>
      <c r="J319" s="227" t="s">
        <v>213</v>
      </c>
      <c r="K319" s="231" t="s">
        <v>14</v>
      </c>
      <c r="V319"/>
    </row>
    <row r="320" spans="2:22" hidden="1" outlineLevel="1">
      <c r="B320" s="136" t="s">
        <v>215</v>
      </c>
      <c r="C320" s="228">
        <f>C260</f>
        <v>0.51666666666666661</v>
      </c>
      <c r="D320" s="228">
        <f t="shared" ref="D320:J320" si="192">D260</f>
        <v>50.849622071050632</v>
      </c>
      <c r="E320" s="228">
        <f t="shared" si="192"/>
        <v>42.599622071050632</v>
      </c>
      <c r="F320" s="228">
        <f t="shared" si="192"/>
        <v>42.599622071050632</v>
      </c>
      <c r="G320" s="228">
        <f t="shared" si="192"/>
        <v>43.987377173091453</v>
      </c>
      <c r="H320" s="228">
        <f t="shared" si="192"/>
        <v>47.987377173091453</v>
      </c>
      <c r="I320" s="228">
        <f t="shared" si="192"/>
        <v>48.599622071050639</v>
      </c>
      <c r="J320" s="228">
        <f t="shared" si="192"/>
        <v>39.85404383975812</v>
      </c>
      <c r="K320" s="229">
        <f>SUM(C320:J320)</f>
        <v>316.99395313681021</v>
      </c>
      <c r="V320"/>
    </row>
    <row r="321" spans="1:22" hidden="1" outlineLevel="1">
      <c r="B321" s="136" t="s">
        <v>217</v>
      </c>
      <c r="C321" s="228">
        <f>C274</f>
        <v>0.51666666666666661</v>
      </c>
      <c r="D321" s="228">
        <f t="shared" ref="D321:J321" si="193">D274</f>
        <v>50.849622071050632</v>
      </c>
      <c r="E321" s="228">
        <f t="shared" si="193"/>
        <v>42.599622071050632</v>
      </c>
      <c r="F321" s="228">
        <f t="shared" si="193"/>
        <v>42.599622071050632</v>
      </c>
      <c r="G321" s="228">
        <f t="shared" si="193"/>
        <v>43.987377173091453</v>
      </c>
      <c r="H321" s="228">
        <f t="shared" si="193"/>
        <v>47.987377173091453</v>
      </c>
      <c r="I321" s="228">
        <f t="shared" si="193"/>
        <v>48.599622071050639</v>
      </c>
      <c r="J321" s="228">
        <f t="shared" si="193"/>
        <v>39.85404383975812</v>
      </c>
      <c r="K321" s="229">
        <f t="shared" ref="K321:K324" si="194">SUM(C321:J321)</f>
        <v>316.99395313681021</v>
      </c>
      <c r="V321"/>
    </row>
    <row r="322" spans="1:22" hidden="1" outlineLevel="1">
      <c r="B322" s="136" t="s">
        <v>219</v>
      </c>
      <c r="C322" s="228">
        <f>C288</f>
        <v>0.51666666666666661</v>
      </c>
      <c r="D322" s="228">
        <f t="shared" ref="D322:J322" si="195">D288</f>
        <v>50.237377173091453</v>
      </c>
      <c r="E322" s="228">
        <f t="shared" si="195"/>
        <v>41.987377173091453</v>
      </c>
      <c r="F322" s="228">
        <f t="shared" si="195"/>
        <v>41.987377173091453</v>
      </c>
      <c r="G322" s="228">
        <f t="shared" si="195"/>
        <v>43.987377173091453</v>
      </c>
      <c r="H322" s="228">
        <f t="shared" si="195"/>
        <v>48.599622071050639</v>
      </c>
      <c r="I322" s="228">
        <f t="shared" si="195"/>
        <v>48.599622071050639</v>
      </c>
      <c r="J322" s="228">
        <f t="shared" si="195"/>
        <v>39.85404383975812</v>
      </c>
      <c r="K322" s="228">
        <f t="shared" si="194"/>
        <v>315.76946334089189</v>
      </c>
      <c r="V322"/>
    </row>
    <row r="323" spans="1:22" hidden="1" outlineLevel="1">
      <c r="B323" s="136" t="s">
        <v>221</v>
      </c>
      <c r="C323" s="228">
        <f>C302</f>
        <v>0.51666666666666661</v>
      </c>
      <c r="D323" s="228">
        <f t="shared" ref="D323:J323" si="196">D302</f>
        <v>37.33110355253212</v>
      </c>
      <c r="E323" s="228">
        <f t="shared" si="196"/>
        <v>29.08110355253212</v>
      </c>
      <c r="F323" s="228">
        <f t="shared" si="196"/>
        <v>28.468858654572937</v>
      </c>
      <c r="G323" s="228">
        <f t="shared" si="196"/>
        <v>30.468858654572937</v>
      </c>
      <c r="H323" s="228">
        <f t="shared" si="196"/>
        <v>34.468858654572941</v>
      </c>
      <c r="I323" s="228">
        <f t="shared" si="196"/>
        <v>34.468858654572941</v>
      </c>
      <c r="J323" s="228">
        <f t="shared" si="196"/>
        <v>26.335525321239604</v>
      </c>
      <c r="K323" s="228">
        <f t="shared" si="194"/>
        <v>221.1398337112623</v>
      </c>
      <c r="V323"/>
    </row>
    <row r="324" spans="1:22" hidden="1" outlineLevel="1">
      <c r="B324" s="136" t="s">
        <v>223</v>
      </c>
      <c r="C324" s="228">
        <f>C316</f>
        <v>0.51666666666666661</v>
      </c>
      <c r="D324" s="228">
        <f t="shared" ref="D324:J324" si="197">D316</f>
        <v>37.331103552532127</v>
      </c>
      <c r="E324" s="228">
        <f t="shared" si="197"/>
        <v>29.081103552532124</v>
      </c>
      <c r="F324" s="228">
        <f t="shared" si="197"/>
        <v>28.468858654572941</v>
      </c>
      <c r="G324" s="228">
        <f t="shared" si="197"/>
        <v>23.709599395313681</v>
      </c>
      <c r="H324" s="228">
        <f t="shared" si="197"/>
        <v>27.709599395313681</v>
      </c>
      <c r="I324" s="228">
        <f t="shared" si="197"/>
        <v>27.709599395313681</v>
      </c>
      <c r="J324" s="228">
        <f t="shared" si="197"/>
        <v>19.576266061980348</v>
      </c>
      <c r="K324" s="230">
        <f t="shared" si="194"/>
        <v>194.10279667422526</v>
      </c>
      <c r="V324"/>
    </row>
    <row r="325" spans="1:22" hidden="1" outlineLevel="1">
      <c r="B325" s="231" t="s">
        <v>14</v>
      </c>
      <c r="C325" s="230">
        <f>SUM(C320:C324)</f>
        <v>2.583333333333333</v>
      </c>
      <c r="D325" s="228">
        <f t="shared" ref="D325:J325" si="198">SUM(D320:D324)</f>
        <v>226.59882842025695</v>
      </c>
      <c r="E325" s="230">
        <f t="shared" si="198"/>
        <v>185.34882842025695</v>
      </c>
      <c r="F325" s="228">
        <f t="shared" si="198"/>
        <v>184.12433862433858</v>
      </c>
      <c r="G325" s="228">
        <f t="shared" si="198"/>
        <v>186.14058956916097</v>
      </c>
      <c r="H325" s="229">
        <f t="shared" si="198"/>
        <v>206.75283446712015</v>
      </c>
      <c r="I325" s="229">
        <f t="shared" si="198"/>
        <v>207.97732426303853</v>
      </c>
      <c r="J325" s="230">
        <f t="shared" si="198"/>
        <v>165.47392290249434</v>
      </c>
      <c r="K325" s="136"/>
      <c r="V325"/>
    </row>
    <row r="326" spans="1:22" hidden="1" outlineLevel="1">
      <c r="A326" s="55"/>
      <c r="B326" s="60"/>
      <c r="C326" s="17"/>
      <c r="D326" s="17"/>
      <c r="E326" s="17"/>
      <c r="F326" s="17"/>
      <c r="G326" s="17"/>
      <c r="H326" s="17"/>
      <c r="I326" s="17"/>
      <c r="J326" s="17"/>
      <c r="K326" s="17"/>
      <c r="V326"/>
    </row>
    <row r="327" spans="1:22" hidden="1" outlineLevel="1">
      <c r="A327" s="55"/>
      <c r="B327" s="60"/>
      <c r="C327" s="17"/>
      <c r="D327" s="17"/>
      <c r="E327" s="17"/>
      <c r="F327" s="17"/>
      <c r="G327" s="17"/>
      <c r="H327" s="17"/>
      <c r="I327" s="17"/>
      <c r="J327" s="17"/>
      <c r="K327" s="17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3"/>
    </row>
    <row r="328" spans="1:22" collapsed="1">
      <c r="A328" s="80" t="s">
        <v>323</v>
      </c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2"/>
    </row>
    <row r="329" spans="1:22">
      <c r="A329" s="9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3"/>
    </row>
    <row r="330" spans="1:22">
      <c r="A330" s="80" t="s">
        <v>324</v>
      </c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2"/>
    </row>
    <row r="331" spans="1:22" hidden="1" outlineLevel="1">
      <c r="B331" s="83"/>
      <c r="C331" s="84" t="s">
        <v>325</v>
      </c>
      <c r="D331" s="85"/>
      <c r="E331" s="84">
        <v>2025</v>
      </c>
      <c r="F331" s="85"/>
      <c r="G331" s="84">
        <v>2030</v>
      </c>
      <c r="H331" s="86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3"/>
    </row>
    <row r="332" spans="1:22" ht="31.5" hidden="1" outlineLevel="1" thickBot="1">
      <c r="B332" s="61" t="s">
        <v>307</v>
      </c>
      <c r="C332" s="87" t="s">
        <v>326</v>
      </c>
      <c r="D332" s="88" t="s">
        <v>327</v>
      </c>
      <c r="E332" s="87" t="s">
        <v>326</v>
      </c>
      <c r="F332" s="88" t="s">
        <v>327</v>
      </c>
      <c r="G332" s="87" t="s">
        <v>326</v>
      </c>
      <c r="H332" s="89" t="s">
        <v>327</v>
      </c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3"/>
    </row>
    <row r="333" spans="1:22" hidden="1" outlineLevel="1">
      <c r="B333" s="55" t="s">
        <v>6</v>
      </c>
      <c r="C333" s="90">
        <v>0.2</v>
      </c>
      <c r="D333" s="91">
        <v>0.8</v>
      </c>
      <c r="E333" s="92"/>
      <c r="F333" s="93"/>
      <c r="G333" s="92"/>
      <c r="H333" s="9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3"/>
    </row>
    <row r="334" spans="1:22" hidden="1" outlineLevel="1">
      <c r="B334" s="55" t="s">
        <v>9</v>
      </c>
      <c r="C334" s="95">
        <v>0</v>
      </c>
      <c r="D334" s="96">
        <v>1</v>
      </c>
      <c r="E334" s="97">
        <v>0.01</v>
      </c>
      <c r="F334" s="98">
        <v>0.99</v>
      </c>
      <c r="G334" s="97">
        <v>0.03</v>
      </c>
      <c r="H334" s="99">
        <v>0.97</v>
      </c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3"/>
    </row>
    <row r="335" spans="1:22" hidden="1" outlineLevel="1">
      <c r="B335" s="55" t="s">
        <v>11</v>
      </c>
      <c r="C335" s="95">
        <v>0.1</v>
      </c>
      <c r="D335" s="96">
        <v>0.9</v>
      </c>
      <c r="E335" s="95">
        <v>0.2</v>
      </c>
      <c r="F335" s="96">
        <v>0.8</v>
      </c>
      <c r="G335" s="95">
        <v>0.3</v>
      </c>
      <c r="H335" s="100">
        <v>0.7</v>
      </c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3"/>
    </row>
    <row r="336" spans="1:22" hidden="1" outlineLevel="1">
      <c r="B336" s="55" t="s">
        <v>13</v>
      </c>
      <c r="C336" s="97">
        <v>0.03</v>
      </c>
      <c r="D336" s="98">
        <v>0.97</v>
      </c>
      <c r="E336" s="97">
        <v>0.03</v>
      </c>
      <c r="F336" s="98">
        <v>0.97</v>
      </c>
      <c r="G336" s="97">
        <v>0.03</v>
      </c>
      <c r="H336" s="99">
        <v>0.97</v>
      </c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3"/>
    </row>
    <row r="337" spans="1:22" hidden="1" outlineLevel="1">
      <c r="B337" s="55" t="s">
        <v>15</v>
      </c>
      <c r="C337" s="95">
        <v>0</v>
      </c>
      <c r="D337" s="96">
        <v>1</v>
      </c>
      <c r="E337" s="95">
        <v>0</v>
      </c>
      <c r="F337" s="96">
        <v>1</v>
      </c>
      <c r="G337" s="95">
        <v>0</v>
      </c>
      <c r="H337" s="100">
        <v>1</v>
      </c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3"/>
    </row>
    <row r="338" spans="1:22" hidden="1" outlineLevel="1">
      <c r="B338" s="55" t="s">
        <v>16</v>
      </c>
      <c r="C338" s="95">
        <v>0</v>
      </c>
      <c r="D338" s="96">
        <v>1</v>
      </c>
      <c r="E338" s="95">
        <v>0.05</v>
      </c>
      <c r="F338" s="96">
        <v>0.95</v>
      </c>
      <c r="G338" s="95">
        <v>0.1</v>
      </c>
      <c r="H338" s="100">
        <v>0.9</v>
      </c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3"/>
    </row>
    <row r="339" spans="1:22" hidden="1" outlineLevel="1">
      <c r="B339" s="55" t="s">
        <v>17</v>
      </c>
      <c r="C339" s="95">
        <v>0</v>
      </c>
      <c r="D339" s="96">
        <v>1</v>
      </c>
      <c r="E339" s="95">
        <v>0</v>
      </c>
      <c r="F339" s="96">
        <v>1</v>
      </c>
      <c r="G339" s="95">
        <v>0</v>
      </c>
      <c r="H339" s="100">
        <v>1</v>
      </c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3"/>
    </row>
    <row r="340" spans="1:22" hidden="1" outlineLevel="1">
      <c r="B340" s="55" t="s">
        <v>18</v>
      </c>
      <c r="C340" s="95">
        <v>0.01</v>
      </c>
      <c r="D340" s="96">
        <v>0.99</v>
      </c>
      <c r="E340" s="95">
        <v>0.05</v>
      </c>
      <c r="F340" s="96">
        <v>0.95</v>
      </c>
      <c r="G340" s="95">
        <v>0.05</v>
      </c>
      <c r="H340" s="100">
        <v>0.95</v>
      </c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3"/>
    </row>
    <row r="341" spans="1:22" hidden="1" outlineLevel="1">
      <c r="B341" s="55" t="s">
        <v>19</v>
      </c>
      <c r="C341" s="95">
        <v>0</v>
      </c>
      <c r="D341" s="96">
        <v>1</v>
      </c>
      <c r="E341" s="97">
        <v>0</v>
      </c>
      <c r="F341" s="98">
        <v>1</v>
      </c>
      <c r="G341" s="97">
        <v>0</v>
      </c>
      <c r="H341" s="99">
        <v>1</v>
      </c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3"/>
    </row>
    <row r="342" spans="1:22" hidden="1" outlineLevel="1">
      <c r="B342" s="55" t="s">
        <v>20</v>
      </c>
      <c r="C342" s="95">
        <v>0.5</v>
      </c>
      <c r="D342" s="96">
        <v>0.5</v>
      </c>
      <c r="E342" s="95">
        <v>0.1</v>
      </c>
      <c r="F342" s="96">
        <v>0.9</v>
      </c>
      <c r="G342" s="101"/>
      <c r="H342" s="10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3"/>
    </row>
    <row r="343" spans="1:22" hidden="1" outlineLevel="1">
      <c r="B343" s="55" t="s">
        <v>21</v>
      </c>
      <c r="C343" s="97">
        <v>0</v>
      </c>
      <c r="D343" s="98">
        <v>1</v>
      </c>
      <c r="E343" s="97">
        <v>0</v>
      </c>
      <c r="F343" s="98">
        <v>1</v>
      </c>
      <c r="G343" s="101"/>
      <c r="H343" s="10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3"/>
    </row>
    <row r="344" spans="1:22" ht="16" hidden="1" outlineLevel="1" thickBot="1">
      <c r="B344" s="55" t="s">
        <v>22</v>
      </c>
      <c r="C344" s="103"/>
      <c r="D344" s="104">
        <v>1</v>
      </c>
      <c r="E344" s="103"/>
      <c r="F344" s="104">
        <v>1</v>
      </c>
      <c r="G344" s="103"/>
      <c r="H344" s="105">
        <v>1</v>
      </c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3"/>
    </row>
    <row r="345" spans="1:22" hidden="1" outlineLevel="1">
      <c r="B345" s="55"/>
      <c r="C345" s="106"/>
      <c r="D345" s="106"/>
      <c r="E345" s="106"/>
      <c r="F345" s="106"/>
      <c r="G345" s="106"/>
      <c r="H345" s="106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3"/>
    </row>
    <row r="346" spans="1:22" collapsed="1">
      <c r="A346" s="80" t="s">
        <v>328</v>
      </c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2"/>
    </row>
    <row r="347" spans="1:22" hidden="1" outlineLevel="1">
      <c r="B347" s="83"/>
      <c r="C347" s="84" t="s">
        <v>325</v>
      </c>
      <c r="D347" s="85"/>
      <c r="E347" s="84">
        <v>2025</v>
      </c>
      <c r="F347" s="85"/>
      <c r="G347" s="84">
        <v>2030</v>
      </c>
      <c r="H347" s="86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3"/>
    </row>
    <row r="348" spans="1:22" ht="43" hidden="1" outlineLevel="1" thickBot="1">
      <c r="B348" s="61" t="s">
        <v>329</v>
      </c>
      <c r="C348" s="87" t="s">
        <v>311</v>
      </c>
      <c r="D348" s="88" t="s">
        <v>330</v>
      </c>
      <c r="E348" s="87" t="s">
        <v>311</v>
      </c>
      <c r="F348" s="88" t="s">
        <v>330</v>
      </c>
      <c r="G348" s="87" t="s">
        <v>311</v>
      </c>
      <c r="H348" s="89" t="s">
        <v>330</v>
      </c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3"/>
    </row>
    <row r="349" spans="1:22" hidden="1" outlineLevel="1">
      <c r="B349" s="55" t="s">
        <v>6</v>
      </c>
      <c r="C349" s="90">
        <v>0.05</v>
      </c>
      <c r="D349" s="91">
        <v>0.95</v>
      </c>
      <c r="E349" s="92"/>
      <c r="F349" s="93"/>
      <c r="G349" s="92"/>
      <c r="H349" s="9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3"/>
    </row>
    <row r="350" spans="1:22" hidden="1" outlineLevel="1">
      <c r="B350" s="55" t="s">
        <v>9</v>
      </c>
      <c r="C350" s="95">
        <v>1</v>
      </c>
      <c r="D350" s="96">
        <v>0</v>
      </c>
      <c r="E350" s="95">
        <v>0.99</v>
      </c>
      <c r="F350" s="96">
        <v>0.01</v>
      </c>
      <c r="G350" s="95">
        <v>0.99</v>
      </c>
      <c r="H350" s="100">
        <v>0.01</v>
      </c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3"/>
    </row>
    <row r="351" spans="1:22" hidden="1" outlineLevel="1">
      <c r="B351" s="55" t="s">
        <v>11</v>
      </c>
      <c r="C351" s="95">
        <v>0.05</v>
      </c>
      <c r="D351" s="96">
        <v>0.95</v>
      </c>
      <c r="E351" s="95">
        <v>0.05</v>
      </c>
      <c r="F351" s="96">
        <v>0.95</v>
      </c>
      <c r="G351" s="95">
        <v>0.05</v>
      </c>
      <c r="H351" s="100">
        <v>0.95</v>
      </c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3"/>
    </row>
    <row r="352" spans="1:22" hidden="1" outlineLevel="1">
      <c r="B352" s="55" t="s">
        <v>13</v>
      </c>
      <c r="C352" s="97">
        <v>1</v>
      </c>
      <c r="D352" s="98">
        <v>0</v>
      </c>
      <c r="E352" s="97">
        <v>1</v>
      </c>
      <c r="F352" s="98">
        <v>0</v>
      </c>
      <c r="G352" s="97">
        <v>1</v>
      </c>
      <c r="H352" s="99">
        <v>0</v>
      </c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3"/>
    </row>
    <row r="353" spans="1:30" hidden="1" outlineLevel="1">
      <c r="B353" s="55" t="s">
        <v>15</v>
      </c>
      <c r="C353" s="95">
        <v>1</v>
      </c>
      <c r="D353" s="96">
        <v>0</v>
      </c>
      <c r="E353" s="95">
        <v>1</v>
      </c>
      <c r="F353" s="96">
        <v>0</v>
      </c>
      <c r="G353" s="95" t="s">
        <v>331</v>
      </c>
      <c r="H353" s="100" t="s">
        <v>332</v>
      </c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3"/>
    </row>
    <row r="354" spans="1:30" hidden="1" outlineLevel="1">
      <c r="B354" s="55" t="s">
        <v>16</v>
      </c>
      <c r="C354" s="95">
        <v>1</v>
      </c>
      <c r="D354" s="96">
        <v>0</v>
      </c>
      <c r="E354" s="95">
        <v>1</v>
      </c>
      <c r="F354" s="96">
        <v>0</v>
      </c>
      <c r="G354" s="95">
        <v>0.7</v>
      </c>
      <c r="H354" s="100">
        <v>0.3</v>
      </c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3"/>
    </row>
    <row r="355" spans="1:30" hidden="1" outlineLevel="1">
      <c r="B355" s="55" t="s">
        <v>17</v>
      </c>
      <c r="C355" s="95">
        <v>1</v>
      </c>
      <c r="D355" s="96">
        <v>0</v>
      </c>
      <c r="E355" s="95">
        <v>1</v>
      </c>
      <c r="F355" s="96">
        <v>0</v>
      </c>
      <c r="G355" s="95">
        <v>1</v>
      </c>
      <c r="H355" s="100">
        <v>0</v>
      </c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3"/>
    </row>
    <row r="356" spans="1:30" hidden="1" outlineLevel="1">
      <c r="B356" s="55" t="s">
        <v>18</v>
      </c>
      <c r="C356" s="95">
        <v>1</v>
      </c>
      <c r="D356" s="96">
        <v>0</v>
      </c>
      <c r="E356" s="95">
        <v>0.95</v>
      </c>
      <c r="F356" s="96">
        <v>0.05</v>
      </c>
      <c r="G356" s="95">
        <v>0.9</v>
      </c>
      <c r="H356" s="100">
        <v>0.1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3"/>
    </row>
    <row r="357" spans="1:30" hidden="1" outlineLevel="1">
      <c r="B357" s="55" t="s">
        <v>19</v>
      </c>
      <c r="C357" s="95">
        <v>0.95</v>
      </c>
      <c r="D357" s="96">
        <v>0.05</v>
      </c>
      <c r="E357" s="97">
        <v>0.9</v>
      </c>
      <c r="F357" s="98">
        <v>0.1</v>
      </c>
      <c r="G357" s="97">
        <v>0.85</v>
      </c>
      <c r="H357" s="99">
        <v>0.15</v>
      </c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3"/>
    </row>
    <row r="358" spans="1:30" hidden="1" outlineLevel="1">
      <c r="B358" s="55" t="s">
        <v>20</v>
      </c>
      <c r="C358" s="95">
        <v>0.1</v>
      </c>
      <c r="D358" s="96">
        <v>0.9</v>
      </c>
      <c r="E358" s="95">
        <v>0.75</v>
      </c>
      <c r="F358" s="96">
        <v>0.25</v>
      </c>
      <c r="G358" s="101"/>
      <c r="H358" s="10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3"/>
    </row>
    <row r="359" spans="1:30" hidden="1" outlineLevel="1">
      <c r="B359" s="55" t="s">
        <v>21</v>
      </c>
      <c r="C359" s="97">
        <v>1</v>
      </c>
      <c r="D359" s="98">
        <v>0</v>
      </c>
      <c r="E359" s="101"/>
      <c r="F359" s="107"/>
      <c r="G359" s="101"/>
      <c r="H359" s="10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3"/>
    </row>
    <row r="360" spans="1:30" ht="16" hidden="1" outlineLevel="1" thickBot="1">
      <c r="B360" s="55" t="s">
        <v>22</v>
      </c>
      <c r="C360" s="103">
        <v>0.98</v>
      </c>
      <c r="D360" s="104">
        <v>0.02</v>
      </c>
      <c r="E360" s="103">
        <v>0.75</v>
      </c>
      <c r="F360" s="104">
        <v>0.25</v>
      </c>
      <c r="G360" s="103">
        <v>0.5</v>
      </c>
      <c r="H360" s="105">
        <v>0.5</v>
      </c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3"/>
    </row>
    <row r="361" spans="1:30" hidden="1" outlineLevel="1"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3"/>
    </row>
    <row r="362" spans="1:30" collapsed="1">
      <c r="A362" s="80" t="s">
        <v>333</v>
      </c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2"/>
    </row>
    <row r="363" spans="1:30" ht="16" hidden="1" outlineLevel="1" thickBot="1">
      <c r="B363" s="16" t="s">
        <v>334</v>
      </c>
      <c r="C363" s="56">
        <v>2.5</v>
      </c>
      <c r="D363" s="56">
        <v>10</v>
      </c>
      <c r="E363" s="56">
        <v>22.5</v>
      </c>
      <c r="F363" s="56">
        <v>45</v>
      </c>
      <c r="G363" s="56">
        <v>90</v>
      </c>
      <c r="H363" s="56">
        <v>120</v>
      </c>
      <c r="I363" s="56">
        <v>2.5</v>
      </c>
      <c r="J363" s="56">
        <v>10</v>
      </c>
      <c r="K363" s="56">
        <v>22.5</v>
      </c>
      <c r="L363" s="31">
        <v>45</v>
      </c>
      <c r="M363" s="31">
        <v>90</v>
      </c>
      <c r="N363" s="31">
        <v>120</v>
      </c>
      <c r="O363" s="31">
        <v>2.5</v>
      </c>
      <c r="P363" s="31">
        <v>10</v>
      </c>
      <c r="Q363" s="31">
        <v>22.5</v>
      </c>
      <c r="R363" s="31">
        <v>45</v>
      </c>
      <c r="S363" s="31">
        <v>90</v>
      </c>
      <c r="T363" s="31">
        <v>120</v>
      </c>
      <c r="U363" s="31">
        <v>2.5</v>
      </c>
      <c r="V363" s="207">
        <v>10</v>
      </c>
      <c r="W363" s="56">
        <v>22.5</v>
      </c>
      <c r="X363" s="56">
        <v>45</v>
      </c>
      <c r="Y363" s="56">
        <v>90</v>
      </c>
      <c r="Z363" s="56">
        <v>120</v>
      </c>
    </row>
    <row r="364" spans="1:30" ht="18" hidden="1" outlineLevel="1">
      <c r="B364" s="235"/>
      <c r="C364" s="150" t="s">
        <v>335</v>
      </c>
      <c r="D364" s="148"/>
      <c r="E364" s="148"/>
      <c r="F364" s="148"/>
      <c r="G364" s="148"/>
      <c r="H364" s="149"/>
      <c r="I364" s="150" t="s">
        <v>336</v>
      </c>
      <c r="J364" s="148"/>
      <c r="K364" s="148"/>
      <c r="L364" s="148"/>
      <c r="M364" s="148"/>
      <c r="N364" s="149"/>
      <c r="O364" s="150" t="s">
        <v>337</v>
      </c>
      <c r="P364" s="148"/>
      <c r="Q364" s="148"/>
      <c r="R364" s="148"/>
      <c r="S364" s="148"/>
      <c r="T364" s="149"/>
      <c r="U364" s="150" t="s">
        <v>338</v>
      </c>
      <c r="V364" s="208"/>
      <c r="W364" s="148"/>
      <c r="X364" s="148"/>
      <c r="Y364" s="148"/>
      <c r="Z364" s="148"/>
    </row>
    <row r="365" spans="1:30" ht="18" hidden="1" outlineLevel="1">
      <c r="B365" s="235"/>
      <c r="C365" s="236"/>
      <c r="D365" s="151"/>
      <c r="E365" s="151"/>
      <c r="F365" s="151"/>
      <c r="G365" s="151"/>
      <c r="H365" s="151"/>
      <c r="I365" s="152"/>
      <c r="J365" s="151"/>
      <c r="K365" s="151"/>
      <c r="L365" s="151"/>
      <c r="M365" s="151"/>
      <c r="N365" s="151"/>
      <c r="O365" s="152"/>
      <c r="P365" s="151"/>
      <c r="Q365" s="151"/>
      <c r="R365" s="151"/>
      <c r="S365" s="151"/>
      <c r="T365" s="151"/>
      <c r="U365" s="152"/>
      <c r="V365" s="209"/>
      <c r="W365" s="151"/>
      <c r="X365" s="151"/>
      <c r="Y365" s="151"/>
      <c r="Z365" s="151"/>
    </row>
    <row r="366" spans="1:30" hidden="1" outlineLevel="1">
      <c r="B366" s="237"/>
      <c r="C366" s="238"/>
      <c r="D366" s="238"/>
      <c r="E366" s="238"/>
      <c r="F366" s="238"/>
      <c r="G366" s="238"/>
      <c r="H366" s="239"/>
      <c r="I366" s="239"/>
      <c r="J366" s="238"/>
      <c r="K366" s="240"/>
      <c r="L366" s="153"/>
      <c r="M366" s="2"/>
      <c r="N366" s="2"/>
      <c r="O366" s="2"/>
      <c r="P366" s="2"/>
      <c r="Q366" s="2"/>
      <c r="R366" s="2"/>
      <c r="S366" s="2"/>
      <c r="T366" s="2"/>
      <c r="U366" s="2"/>
      <c r="V366" s="3"/>
      <c r="W366" s="2"/>
      <c r="X366" s="2"/>
      <c r="Y366" s="2"/>
      <c r="Z366" s="2"/>
    </row>
    <row r="367" spans="1:30" ht="16" hidden="1" outlineLevel="1" thickBot="1">
      <c r="B367" s="241"/>
      <c r="C367" s="156" t="s">
        <v>339</v>
      </c>
      <c r="D367" s="154" t="s">
        <v>340</v>
      </c>
      <c r="E367" s="154" t="s">
        <v>341</v>
      </c>
      <c r="F367" s="154" t="s">
        <v>342</v>
      </c>
      <c r="G367" s="154" t="s">
        <v>343</v>
      </c>
      <c r="H367" s="155" t="s">
        <v>344</v>
      </c>
      <c r="I367" s="156" t="s">
        <v>339</v>
      </c>
      <c r="J367" s="154" t="s">
        <v>340</v>
      </c>
      <c r="K367" s="154" t="s">
        <v>341</v>
      </c>
      <c r="L367" s="154" t="s">
        <v>342</v>
      </c>
      <c r="M367" s="154" t="s">
        <v>343</v>
      </c>
      <c r="N367" s="155" t="s">
        <v>344</v>
      </c>
      <c r="O367" s="156" t="s">
        <v>339</v>
      </c>
      <c r="P367" s="154" t="s">
        <v>340</v>
      </c>
      <c r="Q367" s="154" t="s">
        <v>341</v>
      </c>
      <c r="R367" s="154" t="s">
        <v>342</v>
      </c>
      <c r="S367" s="154" t="s">
        <v>343</v>
      </c>
      <c r="T367" s="155" t="s">
        <v>344</v>
      </c>
      <c r="U367" s="156" t="s">
        <v>339</v>
      </c>
      <c r="V367" s="210" t="s">
        <v>340</v>
      </c>
      <c r="W367" s="154" t="s">
        <v>341</v>
      </c>
      <c r="X367" s="154" t="s">
        <v>342</v>
      </c>
      <c r="Y367" s="154" t="s">
        <v>343</v>
      </c>
      <c r="Z367" s="154" t="s">
        <v>344</v>
      </c>
      <c r="AC367" t="s">
        <v>345</v>
      </c>
      <c r="AD367" s="142"/>
    </row>
    <row r="368" spans="1:30" hidden="1" outlineLevel="1">
      <c r="B368" s="8" t="s">
        <v>6</v>
      </c>
      <c r="C368" s="160">
        <v>0.2</v>
      </c>
      <c r="D368" s="158">
        <v>0.15</v>
      </c>
      <c r="E368" s="158">
        <v>0.05</v>
      </c>
      <c r="F368" s="158">
        <v>0.05</v>
      </c>
      <c r="G368" s="158">
        <v>0.05</v>
      </c>
      <c r="H368" s="159">
        <v>0.05</v>
      </c>
      <c r="I368" s="160">
        <v>0.15</v>
      </c>
      <c r="J368" s="158">
        <v>0.1</v>
      </c>
      <c r="K368" s="159">
        <v>0.05</v>
      </c>
      <c r="L368" s="157">
        <v>0.05</v>
      </c>
      <c r="M368" s="158">
        <v>0.05</v>
      </c>
      <c r="N368" s="159">
        <v>0.04</v>
      </c>
      <c r="O368" s="160">
        <v>0</v>
      </c>
      <c r="P368" s="158">
        <v>0</v>
      </c>
      <c r="Q368" s="158">
        <v>0</v>
      </c>
      <c r="R368" s="158">
        <v>0.01</v>
      </c>
      <c r="S368" s="158">
        <v>0</v>
      </c>
      <c r="T368" s="159">
        <v>0</v>
      </c>
      <c r="U368" s="160">
        <v>0</v>
      </c>
      <c r="V368" s="158">
        <v>0</v>
      </c>
      <c r="W368" s="157">
        <v>0</v>
      </c>
      <c r="X368" s="158">
        <v>0</v>
      </c>
      <c r="Y368" s="158">
        <v>0</v>
      </c>
      <c r="Z368" s="242">
        <v>0</v>
      </c>
      <c r="AB368" s="55" t="s">
        <v>6</v>
      </c>
      <c r="AC368" s="17">
        <f t="shared" ref="AC368:AC379" si="199">C368+D368+I368+J368</f>
        <v>0.6</v>
      </c>
      <c r="AD368" s="142"/>
    </row>
    <row r="369" spans="1:29" hidden="1" outlineLevel="1">
      <c r="B369" s="8" t="s">
        <v>9</v>
      </c>
      <c r="C369" s="164"/>
      <c r="D369" s="162">
        <v>0.2</v>
      </c>
      <c r="E369" s="162">
        <v>0.25</v>
      </c>
      <c r="F369" s="162"/>
      <c r="G369" s="162"/>
      <c r="H369" s="163"/>
      <c r="I369" s="164"/>
      <c r="J369" s="162">
        <v>0.35</v>
      </c>
      <c r="K369" s="163">
        <v>0.1</v>
      </c>
      <c r="L369" s="161"/>
      <c r="M369" s="162"/>
      <c r="N369" s="163"/>
      <c r="O369" s="164"/>
      <c r="P369" s="162">
        <v>0.05</v>
      </c>
      <c r="Q369" s="162">
        <v>0.05</v>
      </c>
      <c r="R369" s="162"/>
      <c r="S369" s="162"/>
      <c r="T369" s="163"/>
      <c r="U369" s="164"/>
      <c r="V369" s="162"/>
      <c r="W369" s="161"/>
      <c r="X369" s="162"/>
      <c r="Y369" s="162"/>
      <c r="Z369" s="243"/>
      <c r="AB369" s="55" t="s">
        <v>9</v>
      </c>
      <c r="AC369" s="17">
        <f t="shared" si="199"/>
        <v>0.55000000000000004</v>
      </c>
    </row>
    <row r="370" spans="1:29" hidden="1" outlineLevel="1">
      <c r="B370" s="8" t="s">
        <v>11</v>
      </c>
      <c r="C370" s="164">
        <v>0.01</v>
      </c>
      <c r="D370" s="162">
        <v>0.02</v>
      </c>
      <c r="E370" s="162">
        <v>0.01</v>
      </c>
      <c r="F370" s="162">
        <v>0.01</v>
      </c>
      <c r="G370" s="162">
        <v>0.05</v>
      </c>
      <c r="H370" s="163">
        <v>0.05</v>
      </c>
      <c r="I370" s="164">
        <v>0.01</v>
      </c>
      <c r="J370" s="162">
        <v>0.01</v>
      </c>
      <c r="K370" s="163">
        <v>0.01</v>
      </c>
      <c r="L370" s="161">
        <v>0.02</v>
      </c>
      <c r="M370" s="162">
        <v>0.1</v>
      </c>
      <c r="N370" s="163">
        <v>0.1</v>
      </c>
      <c r="O370" s="164">
        <v>0.01</v>
      </c>
      <c r="P370" s="162">
        <v>0.01</v>
      </c>
      <c r="Q370" s="162">
        <v>0.01</v>
      </c>
      <c r="R370" s="162">
        <v>0.02</v>
      </c>
      <c r="S370" s="162">
        <v>0.1</v>
      </c>
      <c r="T370" s="163">
        <v>0.15</v>
      </c>
      <c r="U370" s="164">
        <v>0.01</v>
      </c>
      <c r="V370" s="162">
        <v>0.01</v>
      </c>
      <c r="W370" s="161">
        <v>0.01</v>
      </c>
      <c r="X370" s="162">
        <v>0.02</v>
      </c>
      <c r="Y370" s="162">
        <v>0.1</v>
      </c>
      <c r="Z370" s="243">
        <v>0.15</v>
      </c>
      <c r="AB370" s="55" t="s">
        <v>11</v>
      </c>
      <c r="AC370" s="17">
        <f t="shared" si="199"/>
        <v>0.05</v>
      </c>
    </row>
    <row r="371" spans="1:29" hidden="1" outlineLevel="1">
      <c r="B371" s="8" t="s">
        <v>13</v>
      </c>
      <c r="C371" s="164">
        <v>0.49919999999999998</v>
      </c>
      <c r="D371" s="162">
        <v>0.31630000000000003</v>
      </c>
      <c r="E371" s="162">
        <v>0.1263</v>
      </c>
      <c r="F371" s="162">
        <v>5.0200000000000002E-2</v>
      </c>
      <c r="G371" s="162">
        <v>7.7999999999999996E-3</v>
      </c>
      <c r="H371" s="163">
        <v>2.9999999999999997E-4</v>
      </c>
      <c r="I371" s="164"/>
      <c r="J371" s="162"/>
      <c r="K371" s="163"/>
      <c r="L371" s="161"/>
      <c r="M371" s="162"/>
      <c r="N371" s="163"/>
      <c r="O371" s="164"/>
      <c r="P371" s="162"/>
      <c r="Q371" s="162"/>
      <c r="R371" s="162"/>
      <c r="S371" s="162"/>
      <c r="T371" s="163"/>
      <c r="U371" s="164"/>
      <c r="V371" s="162"/>
      <c r="W371" s="161"/>
      <c r="X371" s="162"/>
      <c r="Y371" s="162"/>
      <c r="Z371" s="243"/>
      <c r="AB371" s="55" t="s">
        <v>13</v>
      </c>
      <c r="AC371" s="17">
        <f t="shared" si="199"/>
        <v>0.8155</v>
      </c>
    </row>
    <row r="372" spans="1:29" hidden="1" outlineLevel="1">
      <c r="B372" s="8" t="s">
        <v>15</v>
      </c>
      <c r="C372" s="164"/>
      <c r="D372" s="162"/>
      <c r="E372" s="162"/>
      <c r="F372" s="162">
        <v>0.59</v>
      </c>
      <c r="G372" s="162"/>
      <c r="H372" s="163"/>
      <c r="I372" s="164"/>
      <c r="J372" s="162"/>
      <c r="K372" s="163"/>
      <c r="L372" s="161">
        <v>0.1</v>
      </c>
      <c r="M372" s="162">
        <v>0.2</v>
      </c>
      <c r="N372" s="163"/>
      <c r="O372" s="164"/>
      <c r="P372" s="162"/>
      <c r="Q372" s="162"/>
      <c r="R372" s="162"/>
      <c r="S372" s="162">
        <v>0.1</v>
      </c>
      <c r="T372" s="163"/>
      <c r="U372" s="164"/>
      <c r="V372" s="162"/>
      <c r="W372" s="161"/>
      <c r="X372" s="162"/>
      <c r="Y372" s="162">
        <v>0.01</v>
      </c>
      <c r="Z372" s="243"/>
      <c r="AB372" s="55" t="s">
        <v>15</v>
      </c>
      <c r="AC372" s="17">
        <f t="shared" si="199"/>
        <v>0</v>
      </c>
    </row>
    <row r="373" spans="1:29" hidden="1" outlineLevel="1">
      <c r="B373" s="8" t="s">
        <v>16</v>
      </c>
      <c r="C373" s="164"/>
      <c r="D373" s="162">
        <v>0.05</v>
      </c>
      <c r="E373" s="162">
        <v>0.3</v>
      </c>
      <c r="F373" s="162">
        <v>0.01</v>
      </c>
      <c r="G373" s="162"/>
      <c r="H373" s="163"/>
      <c r="I373" s="164"/>
      <c r="J373" s="162">
        <v>0.1</v>
      </c>
      <c r="K373" s="163">
        <v>0.5</v>
      </c>
      <c r="L373" s="161">
        <v>0.04</v>
      </c>
      <c r="M373" s="162"/>
      <c r="N373" s="163"/>
      <c r="O373" s="164"/>
      <c r="P373" s="162"/>
      <c r="Q373" s="162"/>
      <c r="R373" s="162"/>
      <c r="S373" s="162"/>
      <c r="T373" s="163"/>
      <c r="U373" s="164"/>
      <c r="V373" s="162"/>
      <c r="W373" s="161"/>
      <c r="X373" s="162"/>
      <c r="Y373" s="162"/>
      <c r="Z373" s="243"/>
      <c r="AB373" s="55" t="s">
        <v>16</v>
      </c>
      <c r="AC373" s="17">
        <f t="shared" si="199"/>
        <v>0.15000000000000002</v>
      </c>
    </row>
    <row r="374" spans="1:29" hidden="1" outlineLevel="1">
      <c r="B374" s="8" t="s">
        <v>17</v>
      </c>
      <c r="C374" s="164"/>
      <c r="D374" s="162">
        <v>0.1</v>
      </c>
      <c r="E374" s="162"/>
      <c r="F374" s="162"/>
      <c r="G374" s="162">
        <v>0.4</v>
      </c>
      <c r="H374" s="163"/>
      <c r="I374" s="164"/>
      <c r="J374" s="162"/>
      <c r="K374" s="163"/>
      <c r="L374" s="161"/>
      <c r="M374" s="162">
        <v>0.5</v>
      </c>
      <c r="N374" s="163"/>
      <c r="O374" s="164"/>
      <c r="P374" s="162"/>
      <c r="Q374" s="162"/>
      <c r="R374" s="162"/>
      <c r="S374" s="162"/>
      <c r="T374" s="163"/>
      <c r="U374" s="164"/>
      <c r="V374" s="162"/>
      <c r="W374" s="161"/>
      <c r="X374" s="162"/>
      <c r="Y374" s="162"/>
      <c r="Z374" s="243"/>
      <c r="AB374" s="55" t="s">
        <v>17</v>
      </c>
      <c r="AC374" s="17">
        <f t="shared" si="199"/>
        <v>0.1</v>
      </c>
    </row>
    <row r="375" spans="1:29" hidden="1" outlineLevel="1">
      <c r="B375" s="8" t="s">
        <v>18</v>
      </c>
      <c r="C375" s="164">
        <v>0.05</v>
      </c>
      <c r="D375" s="162">
        <v>0.75</v>
      </c>
      <c r="E375" s="162">
        <v>0.15</v>
      </c>
      <c r="F375" s="162">
        <v>0.05</v>
      </c>
      <c r="G375" s="162"/>
      <c r="H375" s="163"/>
      <c r="I375" s="164"/>
      <c r="J375" s="162"/>
      <c r="K375" s="163"/>
      <c r="L375" s="161"/>
      <c r="M375" s="162"/>
      <c r="N375" s="163"/>
      <c r="O375" s="164"/>
      <c r="P375" s="162"/>
      <c r="Q375" s="162"/>
      <c r="R375" s="162"/>
      <c r="S375" s="162"/>
      <c r="T375" s="163"/>
      <c r="U375" s="164"/>
      <c r="V375" s="162"/>
      <c r="W375" s="161"/>
      <c r="X375" s="162"/>
      <c r="Y375" s="162"/>
      <c r="Z375" s="243"/>
      <c r="AB375" s="55" t="s">
        <v>18</v>
      </c>
      <c r="AC375" s="17">
        <f t="shared" si="199"/>
        <v>0.8</v>
      </c>
    </row>
    <row r="376" spans="1:29" hidden="1" outlineLevel="1">
      <c r="B376" s="8" t="s">
        <v>19</v>
      </c>
      <c r="C376" s="164"/>
      <c r="D376" s="162"/>
      <c r="E376" s="162"/>
      <c r="F376" s="162">
        <v>0.4</v>
      </c>
      <c r="G376" s="162">
        <v>0.4</v>
      </c>
      <c r="H376" s="163"/>
      <c r="I376" s="164"/>
      <c r="J376" s="162"/>
      <c r="K376" s="163"/>
      <c r="L376" s="161"/>
      <c r="M376" s="162">
        <v>0.17</v>
      </c>
      <c r="N376" s="163"/>
      <c r="O376" s="164"/>
      <c r="P376" s="162"/>
      <c r="Q376" s="162"/>
      <c r="R376" s="162"/>
      <c r="S376" s="162"/>
      <c r="T376" s="163"/>
      <c r="U376" s="164"/>
      <c r="V376" s="162"/>
      <c r="W376" s="161"/>
      <c r="X376" s="162"/>
      <c r="Y376" s="162"/>
      <c r="Z376" s="243">
        <v>0.03</v>
      </c>
      <c r="AB376" s="55" t="s">
        <v>19</v>
      </c>
      <c r="AC376" s="17">
        <f t="shared" si="199"/>
        <v>0</v>
      </c>
    </row>
    <row r="377" spans="1:29" hidden="1" outlineLevel="1">
      <c r="B377" s="8" t="s">
        <v>20</v>
      </c>
      <c r="C377" s="164">
        <v>0.1</v>
      </c>
      <c r="D377" s="162">
        <v>0.1</v>
      </c>
      <c r="E377" s="162">
        <v>0.2</v>
      </c>
      <c r="F377" s="162">
        <v>0.4</v>
      </c>
      <c r="G377" s="162"/>
      <c r="H377" s="163"/>
      <c r="I377" s="164"/>
      <c r="J377" s="162"/>
      <c r="K377" s="163"/>
      <c r="L377" s="161">
        <v>0.15</v>
      </c>
      <c r="M377" s="162"/>
      <c r="N377" s="163"/>
      <c r="O377" s="164"/>
      <c r="P377" s="162"/>
      <c r="Q377" s="162"/>
      <c r="R377" s="162">
        <v>0.03</v>
      </c>
      <c r="S377" s="162">
        <v>0.02</v>
      </c>
      <c r="T377" s="163"/>
      <c r="U377" s="164"/>
      <c r="V377" s="162"/>
      <c r="W377" s="161"/>
      <c r="X377" s="162"/>
      <c r="Y377" s="162"/>
      <c r="Z377" s="243"/>
      <c r="AB377" s="55" t="s">
        <v>20</v>
      </c>
      <c r="AC377" s="17">
        <f t="shared" si="199"/>
        <v>0.2</v>
      </c>
    </row>
    <row r="378" spans="1:29" hidden="1" outlineLevel="1">
      <c r="B378" s="8" t="s">
        <v>21</v>
      </c>
      <c r="C378" s="164"/>
      <c r="D378" s="162">
        <v>0.3</v>
      </c>
      <c r="E378" s="162">
        <v>0.5</v>
      </c>
      <c r="F378" s="162">
        <v>0.2</v>
      </c>
      <c r="G378" s="162"/>
      <c r="H378" s="163"/>
      <c r="I378" s="164"/>
      <c r="J378" s="162"/>
      <c r="K378" s="163"/>
      <c r="L378" s="161"/>
      <c r="M378" s="162"/>
      <c r="N378" s="163"/>
      <c r="O378" s="164"/>
      <c r="P378" s="162"/>
      <c r="Q378" s="162"/>
      <c r="R378" s="162"/>
      <c r="S378" s="162"/>
      <c r="T378" s="163"/>
      <c r="U378" s="164"/>
      <c r="V378" s="162"/>
      <c r="W378" s="161"/>
      <c r="X378" s="162"/>
      <c r="Y378" s="162"/>
      <c r="Z378" s="243"/>
      <c r="AB378" s="55" t="s">
        <v>21</v>
      </c>
      <c r="AC378" s="17">
        <f t="shared" si="199"/>
        <v>0.3</v>
      </c>
    </row>
    <row r="379" spans="1:29" ht="16" hidden="1" outlineLevel="1" thickBot="1">
      <c r="B379" s="8" t="s">
        <v>22</v>
      </c>
      <c r="C379" s="168"/>
      <c r="D379" s="166">
        <v>0.8</v>
      </c>
      <c r="E379" s="166"/>
      <c r="F379" s="166"/>
      <c r="G379" s="166"/>
      <c r="H379" s="167"/>
      <c r="I379" s="168"/>
      <c r="J379" s="166">
        <v>0.05</v>
      </c>
      <c r="K379" s="167">
        <v>0.05</v>
      </c>
      <c r="L379" s="165"/>
      <c r="M379" s="166"/>
      <c r="N379" s="167"/>
      <c r="O379" s="168"/>
      <c r="P379" s="166"/>
      <c r="Q379" s="166"/>
      <c r="R379" s="166">
        <v>0.05</v>
      </c>
      <c r="S379" s="166"/>
      <c r="T379" s="167"/>
      <c r="U379" s="168"/>
      <c r="V379" s="166"/>
      <c r="W379" s="165"/>
      <c r="X379" s="166">
        <v>0.05</v>
      </c>
      <c r="Y379" s="166"/>
      <c r="Z379" s="244"/>
      <c r="AB379" s="55" t="s">
        <v>22</v>
      </c>
      <c r="AC379" s="17">
        <f t="shared" si="199"/>
        <v>0.85000000000000009</v>
      </c>
    </row>
    <row r="380" spans="1:29" hidden="1" outlineLevel="1"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3"/>
    </row>
    <row r="381" spans="1:29" collapsed="1">
      <c r="A381" s="80" t="s">
        <v>346</v>
      </c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2"/>
    </row>
    <row r="382" spans="1:29" ht="18" hidden="1" outlineLevel="1">
      <c r="B382" s="83"/>
      <c r="C382" s="108" t="s">
        <v>325</v>
      </c>
      <c r="D382" s="109"/>
      <c r="E382" s="109"/>
      <c r="F382" s="110"/>
      <c r="G382" s="108">
        <v>2025</v>
      </c>
      <c r="H382" s="109"/>
      <c r="I382" s="109"/>
      <c r="J382" s="109"/>
      <c r="K382" s="108">
        <v>2030</v>
      </c>
      <c r="L382" s="169"/>
      <c r="M382" s="169"/>
      <c r="N382" s="170"/>
      <c r="O382" s="2"/>
      <c r="P382" s="2"/>
      <c r="Q382" s="2"/>
      <c r="R382" s="2"/>
      <c r="S382" s="2"/>
      <c r="T382" s="2"/>
      <c r="U382" s="2"/>
      <c r="V382" s="3"/>
    </row>
    <row r="383" spans="1:29" ht="99" hidden="1" outlineLevel="1" thickBot="1">
      <c r="B383" s="61" t="s">
        <v>347</v>
      </c>
      <c r="C383" s="111" t="s">
        <v>348</v>
      </c>
      <c r="D383" s="112" t="s">
        <v>349</v>
      </c>
      <c r="E383" s="112" t="s">
        <v>350</v>
      </c>
      <c r="F383" s="113" t="s">
        <v>351</v>
      </c>
      <c r="G383" s="111" t="s">
        <v>348</v>
      </c>
      <c r="H383" s="112" t="s">
        <v>349</v>
      </c>
      <c r="I383" s="112" t="s">
        <v>350</v>
      </c>
      <c r="J383" s="112" t="s">
        <v>351</v>
      </c>
      <c r="K383" s="111" t="s">
        <v>348</v>
      </c>
      <c r="L383" s="171" t="s">
        <v>349</v>
      </c>
      <c r="M383" s="171" t="s">
        <v>350</v>
      </c>
      <c r="N383" s="172" t="s">
        <v>351</v>
      </c>
      <c r="O383" s="2"/>
      <c r="P383" s="2" t="s">
        <v>232</v>
      </c>
      <c r="Q383" s="173"/>
      <c r="R383" s="2"/>
      <c r="S383" s="2"/>
      <c r="T383" s="2"/>
      <c r="U383" s="2"/>
      <c r="V383" s="3"/>
    </row>
    <row r="384" spans="1:29" hidden="1" outlineLevel="1">
      <c r="B384" s="55" t="s">
        <v>6</v>
      </c>
      <c r="C384" s="90">
        <v>0.3</v>
      </c>
      <c r="D384" s="114">
        <v>0.5</v>
      </c>
      <c r="E384" s="114"/>
      <c r="F384" s="91">
        <v>0.2</v>
      </c>
      <c r="G384" s="115"/>
      <c r="H384" s="116"/>
      <c r="I384" s="116"/>
      <c r="J384" s="117"/>
      <c r="K384" s="192"/>
      <c r="L384" s="174"/>
      <c r="M384" s="175"/>
      <c r="N384" s="176"/>
      <c r="O384" s="2"/>
      <c r="P384" s="141">
        <f>F384</f>
        <v>0.2</v>
      </c>
      <c r="Q384" s="2"/>
      <c r="R384" s="2"/>
      <c r="S384" s="2"/>
      <c r="T384" s="2"/>
      <c r="U384" s="2"/>
      <c r="V384" s="3"/>
    </row>
    <row r="385" spans="1:22" hidden="1" outlineLevel="1">
      <c r="B385" s="55" t="s">
        <v>9</v>
      </c>
      <c r="C385" s="95"/>
      <c r="D385" s="118">
        <v>0.9</v>
      </c>
      <c r="E385" s="118">
        <v>0.1</v>
      </c>
      <c r="F385" s="96"/>
      <c r="G385" s="95">
        <v>0.05</v>
      </c>
      <c r="H385" s="118">
        <v>0.9</v>
      </c>
      <c r="I385" s="118">
        <v>0.05</v>
      </c>
      <c r="J385" s="96"/>
      <c r="K385" s="193">
        <v>0.1</v>
      </c>
      <c r="L385" s="177">
        <v>0.89</v>
      </c>
      <c r="M385" s="178">
        <v>0.01</v>
      </c>
      <c r="N385" s="179"/>
      <c r="O385" s="2"/>
      <c r="P385" s="141">
        <f t="shared" ref="P385:P392" si="200">N385</f>
        <v>0</v>
      </c>
      <c r="Q385" s="2"/>
      <c r="R385" s="2"/>
      <c r="S385" s="2"/>
      <c r="T385" s="2"/>
      <c r="U385" s="2"/>
      <c r="V385" s="3"/>
    </row>
    <row r="386" spans="1:22" hidden="1" outlineLevel="1">
      <c r="B386" s="55" t="s">
        <v>11</v>
      </c>
      <c r="C386" s="95">
        <v>0.34</v>
      </c>
      <c r="D386" s="118">
        <v>0.05</v>
      </c>
      <c r="E386" s="118">
        <v>0.6</v>
      </c>
      <c r="F386" s="96">
        <v>0.01</v>
      </c>
      <c r="G386" s="95">
        <v>0.36</v>
      </c>
      <c r="H386" s="118">
        <v>0.02</v>
      </c>
      <c r="I386" s="118">
        <v>0.6</v>
      </c>
      <c r="J386" s="96">
        <v>0.01</v>
      </c>
      <c r="K386" s="194">
        <v>0.38</v>
      </c>
      <c r="L386" s="177">
        <v>0.01</v>
      </c>
      <c r="M386" s="178">
        <v>0.6</v>
      </c>
      <c r="N386" s="179">
        <v>0.01</v>
      </c>
      <c r="O386" s="2"/>
      <c r="P386" s="141">
        <f t="shared" si="200"/>
        <v>0.01</v>
      </c>
      <c r="Q386" s="2"/>
      <c r="R386" s="2"/>
      <c r="S386" s="2"/>
      <c r="T386" s="2"/>
      <c r="U386" s="2"/>
      <c r="V386" s="3"/>
    </row>
    <row r="387" spans="1:22" hidden="1" outlineLevel="1">
      <c r="B387" s="55" t="s">
        <v>13</v>
      </c>
      <c r="C387" s="119">
        <v>0.05</v>
      </c>
      <c r="D387" s="120">
        <v>0.95</v>
      </c>
      <c r="E387" s="120">
        <v>0</v>
      </c>
      <c r="F387" s="121">
        <v>0</v>
      </c>
      <c r="G387" s="119">
        <v>0.05</v>
      </c>
      <c r="H387" s="120">
        <v>0.95</v>
      </c>
      <c r="I387" s="120"/>
      <c r="J387" s="121"/>
      <c r="K387" s="195">
        <v>0.05</v>
      </c>
      <c r="L387" s="180">
        <v>0.95</v>
      </c>
      <c r="M387" s="181"/>
      <c r="N387" s="182"/>
      <c r="O387" s="2"/>
      <c r="P387" s="141">
        <f t="shared" si="200"/>
        <v>0</v>
      </c>
      <c r="Q387" s="2"/>
      <c r="R387" s="2"/>
      <c r="S387" s="2"/>
      <c r="T387" s="2"/>
      <c r="U387" s="2"/>
      <c r="V387" s="3"/>
    </row>
    <row r="388" spans="1:22" hidden="1" outlineLevel="1">
      <c r="B388" s="55" t="s">
        <v>15</v>
      </c>
      <c r="C388" s="95">
        <v>0.05</v>
      </c>
      <c r="D388" s="118">
        <v>0.95</v>
      </c>
      <c r="E388" s="118">
        <v>0</v>
      </c>
      <c r="F388" s="96">
        <v>0</v>
      </c>
      <c r="G388" s="95">
        <v>0.1</v>
      </c>
      <c r="H388" s="118">
        <v>0.9</v>
      </c>
      <c r="I388" s="118">
        <v>0</v>
      </c>
      <c r="J388" s="96">
        <v>0</v>
      </c>
      <c r="K388" s="194">
        <v>0.3</v>
      </c>
      <c r="L388" s="177">
        <v>0.7</v>
      </c>
      <c r="M388" s="178">
        <v>0</v>
      </c>
      <c r="N388" s="179">
        <v>0</v>
      </c>
      <c r="O388" s="2"/>
      <c r="P388" s="141">
        <f t="shared" si="200"/>
        <v>0</v>
      </c>
      <c r="Q388" s="2"/>
      <c r="R388" s="2"/>
      <c r="S388" s="2"/>
      <c r="T388" s="2"/>
      <c r="U388" s="2"/>
      <c r="V388" s="3"/>
    </row>
    <row r="389" spans="1:22" hidden="1" outlineLevel="1">
      <c r="B389" s="55" t="s">
        <v>16</v>
      </c>
      <c r="C389" s="122">
        <v>1</v>
      </c>
      <c r="D389" s="123">
        <v>0</v>
      </c>
      <c r="E389" s="123">
        <v>0</v>
      </c>
      <c r="F389" s="124">
        <v>0</v>
      </c>
      <c r="G389" s="122">
        <v>0</v>
      </c>
      <c r="H389" s="123">
        <v>1</v>
      </c>
      <c r="I389" s="123">
        <v>0</v>
      </c>
      <c r="J389" s="124">
        <v>0</v>
      </c>
      <c r="K389" s="196">
        <v>0</v>
      </c>
      <c r="L389" s="183">
        <v>1</v>
      </c>
      <c r="M389" s="184">
        <v>0</v>
      </c>
      <c r="N389" s="185">
        <v>0</v>
      </c>
      <c r="O389" s="2"/>
      <c r="P389" s="141">
        <f t="shared" si="200"/>
        <v>0</v>
      </c>
      <c r="Q389" s="2"/>
      <c r="R389" s="2"/>
      <c r="S389" s="2"/>
      <c r="T389" s="2"/>
      <c r="U389" s="2"/>
      <c r="V389" s="3"/>
    </row>
    <row r="390" spans="1:22" hidden="1" outlineLevel="1">
      <c r="B390" s="55" t="s">
        <v>17</v>
      </c>
      <c r="C390" s="122">
        <v>0.1</v>
      </c>
      <c r="D390" s="123">
        <v>0.1</v>
      </c>
      <c r="E390" s="123">
        <v>0.8</v>
      </c>
      <c r="F390" s="124">
        <v>0</v>
      </c>
      <c r="G390" s="122">
        <v>0.1</v>
      </c>
      <c r="H390" s="123">
        <v>0.1</v>
      </c>
      <c r="I390" s="123">
        <v>0.8</v>
      </c>
      <c r="J390" s="124">
        <v>0</v>
      </c>
      <c r="K390" s="196">
        <v>0.1</v>
      </c>
      <c r="L390" s="183">
        <v>0.1</v>
      </c>
      <c r="M390" s="184">
        <v>0.8</v>
      </c>
      <c r="N390" s="185">
        <v>0</v>
      </c>
      <c r="O390" s="2"/>
      <c r="P390" s="141">
        <f t="shared" si="200"/>
        <v>0</v>
      </c>
      <c r="Q390" s="2"/>
      <c r="R390" s="2"/>
      <c r="S390" s="2"/>
      <c r="T390" s="2"/>
      <c r="U390" s="2"/>
      <c r="V390" s="3"/>
    </row>
    <row r="391" spans="1:22" hidden="1" outlineLevel="1">
      <c r="B391" s="55" t="s">
        <v>18</v>
      </c>
      <c r="C391" s="95">
        <v>0.05</v>
      </c>
      <c r="D391" s="118">
        <v>0.9</v>
      </c>
      <c r="E391" s="118"/>
      <c r="F391" s="96">
        <v>0.05</v>
      </c>
      <c r="G391" s="95">
        <v>0.05</v>
      </c>
      <c r="H391" s="118">
        <v>0.9</v>
      </c>
      <c r="I391" s="118"/>
      <c r="J391" s="96">
        <v>0.05</v>
      </c>
      <c r="K391" s="194">
        <v>0.05</v>
      </c>
      <c r="L391" s="177">
        <v>0.9</v>
      </c>
      <c r="M391" s="178"/>
      <c r="N391" s="179">
        <v>0.05</v>
      </c>
      <c r="O391" s="2"/>
      <c r="P391" s="141">
        <f t="shared" si="200"/>
        <v>0.05</v>
      </c>
      <c r="Q391" s="2"/>
      <c r="R391" s="2"/>
      <c r="S391" s="2"/>
      <c r="T391" s="2"/>
      <c r="U391" s="2"/>
      <c r="V391" s="3"/>
    </row>
    <row r="392" spans="1:22" hidden="1" outlineLevel="1">
      <c r="B392" s="55" t="s">
        <v>19</v>
      </c>
      <c r="C392" s="95">
        <v>0.02</v>
      </c>
      <c r="D392" s="118">
        <v>0.02</v>
      </c>
      <c r="E392" s="118">
        <v>0.95</v>
      </c>
      <c r="F392" s="96">
        <v>0.01</v>
      </c>
      <c r="G392" s="95">
        <v>0.02</v>
      </c>
      <c r="H392" s="118">
        <v>0.02</v>
      </c>
      <c r="I392" s="118">
        <v>0.95</v>
      </c>
      <c r="J392" s="96">
        <v>0.01</v>
      </c>
      <c r="K392" s="194">
        <v>0.02</v>
      </c>
      <c r="L392" s="177">
        <v>0.02</v>
      </c>
      <c r="M392" s="178">
        <v>0.95</v>
      </c>
      <c r="N392" s="179">
        <v>0.01</v>
      </c>
      <c r="O392" s="2"/>
      <c r="P392" s="141">
        <f t="shared" si="200"/>
        <v>0.01</v>
      </c>
      <c r="Q392" s="2"/>
      <c r="R392" s="2"/>
      <c r="S392" s="2"/>
      <c r="T392" s="2"/>
      <c r="U392" s="2"/>
      <c r="V392" s="3"/>
    </row>
    <row r="393" spans="1:22" hidden="1" outlineLevel="1">
      <c r="B393" s="55" t="s">
        <v>20</v>
      </c>
      <c r="C393" s="95">
        <v>0.2</v>
      </c>
      <c r="D393" s="118">
        <v>0.74</v>
      </c>
      <c r="E393" s="118">
        <v>0.05</v>
      </c>
      <c r="F393" s="96">
        <v>0.01</v>
      </c>
      <c r="G393" s="95">
        <v>0.25</v>
      </c>
      <c r="H393" s="118">
        <v>0.64</v>
      </c>
      <c r="I393" s="118">
        <v>0.1</v>
      </c>
      <c r="J393" s="96">
        <v>0.01</v>
      </c>
      <c r="K393" s="196"/>
      <c r="L393" s="183"/>
      <c r="M393" s="184"/>
      <c r="N393" s="185"/>
      <c r="O393" s="2"/>
      <c r="P393" s="141">
        <f>J393</f>
        <v>0.01</v>
      </c>
      <c r="Q393" s="2"/>
      <c r="R393" s="2"/>
      <c r="S393" s="2"/>
      <c r="T393" s="2"/>
      <c r="U393" s="2"/>
      <c r="V393" s="3"/>
    </row>
    <row r="394" spans="1:22" hidden="1" outlineLevel="1">
      <c r="B394" s="55" t="s">
        <v>21</v>
      </c>
      <c r="C394" s="122">
        <v>0.05</v>
      </c>
      <c r="D394" s="123"/>
      <c r="E394" s="123">
        <v>0.35</v>
      </c>
      <c r="F394" s="124">
        <v>0.6</v>
      </c>
      <c r="G394" s="122"/>
      <c r="H394" s="123"/>
      <c r="I394" s="123"/>
      <c r="J394" s="124"/>
      <c r="K394" s="196"/>
      <c r="L394" s="183"/>
      <c r="M394" s="184"/>
      <c r="N394" s="185"/>
      <c r="O394" s="2"/>
      <c r="P394" s="141">
        <f>F394</f>
        <v>0.6</v>
      </c>
      <c r="Q394" s="2"/>
      <c r="R394" s="2"/>
      <c r="S394" s="2"/>
      <c r="T394" s="2"/>
      <c r="U394" s="2"/>
      <c r="V394" s="3"/>
    </row>
    <row r="395" spans="1:22" ht="16" hidden="1" outlineLevel="1" thickBot="1">
      <c r="B395" s="55" t="s">
        <v>22</v>
      </c>
      <c r="C395" s="125"/>
      <c r="D395" s="126">
        <v>0.99</v>
      </c>
      <c r="E395" s="126">
        <v>0.01</v>
      </c>
      <c r="F395" s="127"/>
      <c r="G395" s="125"/>
      <c r="H395" s="126">
        <v>0.99</v>
      </c>
      <c r="I395" s="126">
        <v>0.01</v>
      </c>
      <c r="J395" s="127"/>
      <c r="K395" s="197"/>
      <c r="L395" s="186">
        <v>0.99</v>
      </c>
      <c r="M395" s="187">
        <v>0.01</v>
      </c>
      <c r="N395" s="188"/>
      <c r="O395" s="2"/>
      <c r="P395" s="141">
        <f>N395</f>
        <v>0</v>
      </c>
      <c r="Q395" s="2"/>
      <c r="R395" s="2"/>
      <c r="S395" s="2"/>
      <c r="T395" s="2"/>
      <c r="U395" s="2"/>
      <c r="V395" s="3"/>
    </row>
    <row r="396" spans="1:22" hidden="1" outlineLevel="1"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3"/>
    </row>
    <row r="397" spans="1:22" collapsed="1">
      <c r="A397" s="80" t="s">
        <v>352</v>
      </c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2"/>
    </row>
    <row r="398" spans="1:22" hidden="1" outlineLevel="1">
      <c r="D398" t="s">
        <v>353</v>
      </c>
      <c r="E398" t="s">
        <v>354</v>
      </c>
      <c r="F398" t="s">
        <v>238</v>
      </c>
      <c r="G398" t="s">
        <v>235</v>
      </c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3"/>
    </row>
    <row r="399" spans="1:22" hidden="1" outlineLevel="1">
      <c r="B399" s="55" t="s">
        <v>6</v>
      </c>
      <c r="C399">
        <v>8.0999999999999996E-3</v>
      </c>
      <c r="D399">
        <f t="shared" ref="D399:D410" si="201">C399*1000000</f>
        <v>8100</v>
      </c>
      <c r="E399" s="128">
        <f>D399/12</f>
        <v>675</v>
      </c>
      <c r="F399" s="128">
        <f>E399/4</f>
        <v>168.75</v>
      </c>
      <c r="G399" s="128">
        <f t="shared" ref="G399:G410" si="202">F399/5</f>
        <v>33.75</v>
      </c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3"/>
    </row>
    <row r="400" spans="1:22" hidden="1" outlineLevel="1">
      <c r="B400" s="55" t="s">
        <v>9</v>
      </c>
      <c r="C400">
        <v>0.08</v>
      </c>
      <c r="D400">
        <f t="shared" si="201"/>
        <v>80000</v>
      </c>
      <c r="E400" s="128">
        <f t="shared" ref="E400:E410" si="203">D400/12</f>
        <v>6666.666666666667</v>
      </c>
      <c r="F400" s="128">
        <f t="shared" ref="F400:F410" si="204">E400/4</f>
        <v>1666.6666666666667</v>
      </c>
      <c r="G400" s="128">
        <f t="shared" si="202"/>
        <v>333.33333333333337</v>
      </c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3"/>
    </row>
    <row r="401" spans="1:22" hidden="1" outlineLevel="1">
      <c r="B401" s="55" t="s">
        <v>11</v>
      </c>
      <c r="C401">
        <v>0.01</v>
      </c>
      <c r="D401">
        <f t="shared" si="201"/>
        <v>10000</v>
      </c>
      <c r="E401" s="128">
        <f t="shared" si="203"/>
        <v>833.33333333333337</v>
      </c>
      <c r="F401" s="128">
        <f t="shared" si="204"/>
        <v>208.33333333333334</v>
      </c>
      <c r="G401" s="128">
        <f t="shared" si="202"/>
        <v>41.666666666666671</v>
      </c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3"/>
    </row>
    <row r="402" spans="1:22" hidden="1" outlineLevel="1">
      <c r="B402" s="55" t="s">
        <v>13</v>
      </c>
      <c r="C402">
        <v>0.79200000000000004</v>
      </c>
      <c r="D402">
        <f t="shared" si="201"/>
        <v>792000</v>
      </c>
      <c r="E402" s="128">
        <f t="shared" si="203"/>
        <v>66000</v>
      </c>
      <c r="F402" s="128">
        <f t="shared" si="204"/>
        <v>16500</v>
      </c>
      <c r="G402" s="128">
        <f t="shared" si="202"/>
        <v>3300</v>
      </c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3"/>
    </row>
    <row r="403" spans="1:22" hidden="1" outlineLevel="1">
      <c r="B403" s="55" t="s">
        <v>15</v>
      </c>
      <c r="C403">
        <v>0.1</v>
      </c>
      <c r="D403">
        <f t="shared" si="201"/>
        <v>100000</v>
      </c>
      <c r="E403" s="128">
        <f t="shared" si="203"/>
        <v>8333.3333333333339</v>
      </c>
      <c r="F403" s="128">
        <f t="shared" si="204"/>
        <v>2083.3333333333335</v>
      </c>
      <c r="G403" s="128">
        <f t="shared" si="202"/>
        <v>416.66666666666669</v>
      </c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3"/>
    </row>
    <row r="404" spans="1:22" hidden="1" outlineLevel="1">
      <c r="B404" s="55" t="s">
        <v>16</v>
      </c>
      <c r="C404">
        <v>3.5000000000000003E-2</v>
      </c>
      <c r="D404">
        <f t="shared" si="201"/>
        <v>35000</v>
      </c>
      <c r="E404" s="128">
        <f t="shared" si="203"/>
        <v>2916.6666666666665</v>
      </c>
      <c r="F404" s="128">
        <f t="shared" si="204"/>
        <v>729.16666666666663</v>
      </c>
      <c r="G404" s="128">
        <f t="shared" si="202"/>
        <v>145.83333333333331</v>
      </c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3"/>
    </row>
    <row r="405" spans="1:22" hidden="1" outlineLevel="1">
      <c r="B405" s="55" t="s">
        <v>17</v>
      </c>
      <c r="C405">
        <v>0.06</v>
      </c>
      <c r="D405">
        <f t="shared" si="201"/>
        <v>60000</v>
      </c>
      <c r="E405" s="128">
        <f t="shared" si="203"/>
        <v>5000</v>
      </c>
      <c r="F405" s="128">
        <f t="shared" si="204"/>
        <v>1250</v>
      </c>
      <c r="G405" s="128">
        <f t="shared" si="202"/>
        <v>250</v>
      </c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3"/>
    </row>
    <row r="406" spans="1:22" hidden="1" outlineLevel="1">
      <c r="B406" s="55" t="s">
        <v>18</v>
      </c>
      <c r="C406">
        <v>0.6</v>
      </c>
      <c r="D406">
        <f t="shared" si="201"/>
        <v>600000</v>
      </c>
      <c r="E406" s="128">
        <f t="shared" si="203"/>
        <v>50000</v>
      </c>
      <c r="F406" s="128">
        <f t="shared" si="204"/>
        <v>12500</v>
      </c>
      <c r="G406" s="128">
        <f t="shared" si="202"/>
        <v>2500</v>
      </c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3"/>
    </row>
    <row r="407" spans="1:22" ht="17.149999999999999" hidden="1" customHeight="1" outlineLevel="1">
      <c r="B407" s="55" t="s">
        <v>19</v>
      </c>
      <c r="C407">
        <v>0.04</v>
      </c>
      <c r="D407">
        <f t="shared" si="201"/>
        <v>40000</v>
      </c>
      <c r="E407" s="128">
        <f t="shared" si="203"/>
        <v>3333.3333333333335</v>
      </c>
      <c r="F407" s="128">
        <f t="shared" si="204"/>
        <v>833.33333333333337</v>
      </c>
      <c r="G407" s="128">
        <f t="shared" si="202"/>
        <v>166.66666666666669</v>
      </c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3"/>
    </row>
    <row r="408" spans="1:22" ht="17.149999999999999" hidden="1" customHeight="1" outlineLevel="1">
      <c r="B408" s="55" t="s">
        <v>20</v>
      </c>
      <c r="C408">
        <v>2</v>
      </c>
      <c r="D408">
        <f t="shared" si="201"/>
        <v>2000000</v>
      </c>
      <c r="E408" s="128">
        <f t="shared" si="203"/>
        <v>166666.66666666666</v>
      </c>
      <c r="F408" s="128">
        <f t="shared" si="204"/>
        <v>41666.666666666664</v>
      </c>
      <c r="G408" s="128">
        <f t="shared" si="202"/>
        <v>8333.3333333333321</v>
      </c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3"/>
    </row>
    <row r="409" spans="1:22" ht="17.149999999999999" hidden="1" customHeight="1" outlineLevel="1">
      <c r="B409" s="55" t="s">
        <v>21</v>
      </c>
      <c r="C409">
        <v>0.02</v>
      </c>
      <c r="D409">
        <f t="shared" si="201"/>
        <v>20000</v>
      </c>
      <c r="E409" s="128">
        <f t="shared" si="203"/>
        <v>1666.6666666666667</v>
      </c>
      <c r="F409" s="128">
        <f t="shared" si="204"/>
        <v>416.66666666666669</v>
      </c>
      <c r="G409" s="128">
        <f t="shared" si="202"/>
        <v>83.333333333333343</v>
      </c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3"/>
    </row>
    <row r="410" spans="1:22" hidden="1" outlineLevel="1">
      <c r="B410" s="55" t="s">
        <v>22</v>
      </c>
      <c r="C410">
        <v>0.2</v>
      </c>
      <c r="D410">
        <f t="shared" si="201"/>
        <v>200000</v>
      </c>
      <c r="E410" s="128">
        <f t="shared" si="203"/>
        <v>16666.666666666668</v>
      </c>
      <c r="F410" s="128">
        <f t="shared" si="204"/>
        <v>4166.666666666667</v>
      </c>
      <c r="G410" s="128">
        <f t="shared" si="202"/>
        <v>833.33333333333337</v>
      </c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3"/>
    </row>
    <row r="411" spans="1:22" hidden="1" outlineLevel="1">
      <c r="C411" s="48">
        <f>SUM(C399:C410)</f>
        <v>3.9451000000000001</v>
      </c>
      <c r="D411" s="128">
        <f>SUM(D399:D410)</f>
        <v>3945100</v>
      </c>
      <c r="E411" s="128">
        <f>SUM(E399:E410)</f>
        <v>328758.33333333337</v>
      </c>
      <c r="F411" s="128">
        <f>SUM(F399:F410)</f>
        <v>82189.583333333343</v>
      </c>
      <c r="G411" s="128">
        <f>SUM(G399:G410)</f>
        <v>16437.916666666668</v>
      </c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3"/>
    </row>
    <row r="412" spans="1:22" hidden="1" outlineLevel="1"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3"/>
    </row>
    <row r="413" spans="1:22" ht="16" hidden="1" customHeight="1" collapsed="1">
      <c r="A413" s="80" t="s">
        <v>355</v>
      </c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2"/>
    </row>
    <row r="414" spans="1:22" hidden="1" outlineLevel="1">
      <c r="B414" s="83"/>
      <c r="C414" s="84" t="s">
        <v>325</v>
      </c>
      <c r="D414" s="85"/>
      <c r="E414" s="84">
        <v>2025</v>
      </c>
      <c r="F414" s="86"/>
      <c r="G414" s="84">
        <v>2030</v>
      </c>
      <c r="H414" s="86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3"/>
    </row>
    <row r="415" spans="1:22" ht="31" hidden="1" outlineLevel="1">
      <c r="B415" s="61" t="s">
        <v>356</v>
      </c>
      <c r="C415" s="87" t="s">
        <v>357</v>
      </c>
      <c r="D415" s="88" t="s">
        <v>358</v>
      </c>
      <c r="E415" s="87" t="s">
        <v>357</v>
      </c>
      <c r="F415" s="88" t="s">
        <v>358</v>
      </c>
      <c r="G415" s="87" t="s">
        <v>357</v>
      </c>
      <c r="H415" s="89" t="s">
        <v>358</v>
      </c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3"/>
    </row>
    <row r="416" spans="1:22" hidden="1" outlineLevel="1">
      <c r="B416" s="55" t="s">
        <v>6</v>
      </c>
      <c r="C416" s="90">
        <v>0.8</v>
      </c>
      <c r="D416" s="91">
        <v>0.2</v>
      </c>
      <c r="E416" s="92"/>
      <c r="F416" s="93"/>
      <c r="G416" s="92"/>
      <c r="H416" s="9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3"/>
    </row>
    <row r="417" spans="1:22" hidden="1" outlineLevel="1">
      <c r="B417" s="55" t="s">
        <v>9</v>
      </c>
      <c r="C417" s="95">
        <v>0.95</v>
      </c>
      <c r="D417" s="96">
        <v>0.05</v>
      </c>
      <c r="E417" s="95">
        <v>0.95</v>
      </c>
      <c r="F417" s="96">
        <v>0.05</v>
      </c>
      <c r="G417" s="95">
        <v>0.95</v>
      </c>
      <c r="H417" s="100">
        <v>0.05</v>
      </c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3"/>
    </row>
    <row r="418" spans="1:22" hidden="1" outlineLevel="1">
      <c r="B418" s="55" t="s">
        <v>11</v>
      </c>
      <c r="C418" s="95">
        <v>0.9</v>
      </c>
      <c r="D418" s="96">
        <v>0.1</v>
      </c>
      <c r="E418" s="95">
        <v>0.9</v>
      </c>
      <c r="F418" s="96">
        <v>0.1</v>
      </c>
      <c r="G418" s="95">
        <v>0.9</v>
      </c>
      <c r="H418" s="100">
        <v>0.1</v>
      </c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3"/>
    </row>
    <row r="419" spans="1:22" hidden="1" outlineLevel="1">
      <c r="B419" s="55" t="s">
        <v>13</v>
      </c>
      <c r="C419" s="95">
        <v>0.06</v>
      </c>
      <c r="D419" s="96">
        <v>0.94</v>
      </c>
      <c r="E419" s="97">
        <v>0.06</v>
      </c>
      <c r="F419" s="98">
        <v>0.94</v>
      </c>
      <c r="G419" s="97">
        <v>0.06</v>
      </c>
      <c r="H419" s="99">
        <v>0.94</v>
      </c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3"/>
    </row>
    <row r="420" spans="1:22" hidden="1" outlineLevel="1">
      <c r="B420" s="55" t="s">
        <v>15</v>
      </c>
      <c r="C420" s="95">
        <v>0.7</v>
      </c>
      <c r="D420" s="96">
        <v>0.3</v>
      </c>
      <c r="E420" s="95">
        <v>0.8</v>
      </c>
      <c r="F420" s="96">
        <v>0.2</v>
      </c>
      <c r="G420" s="95">
        <v>0.95</v>
      </c>
      <c r="H420" s="100">
        <v>0.05</v>
      </c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3"/>
    </row>
    <row r="421" spans="1:22" hidden="1" outlineLevel="1">
      <c r="B421" s="55" t="s">
        <v>16</v>
      </c>
      <c r="C421" s="95">
        <v>0</v>
      </c>
      <c r="D421" s="96">
        <v>1</v>
      </c>
      <c r="E421" s="95">
        <v>0.2</v>
      </c>
      <c r="F421" s="96">
        <v>0.8</v>
      </c>
      <c r="G421" s="95">
        <v>0.5</v>
      </c>
      <c r="H421" s="100">
        <v>0.5</v>
      </c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3"/>
    </row>
    <row r="422" spans="1:22" hidden="1" outlineLevel="1">
      <c r="B422" s="55" t="s">
        <v>17</v>
      </c>
      <c r="C422" s="95">
        <v>0.9</v>
      </c>
      <c r="D422" s="96">
        <v>0.1</v>
      </c>
      <c r="E422" s="95">
        <v>0.9</v>
      </c>
      <c r="F422" s="96">
        <v>0.1</v>
      </c>
      <c r="G422" s="95">
        <v>0.9</v>
      </c>
      <c r="H422" s="100">
        <v>0.1</v>
      </c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3"/>
    </row>
    <row r="423" spans="1:22" hidden="1" outlineLevel="1">
      <c r="B423" s="55" t="s">
        <v>18</v>
      </c>
      <c r="C423" s="95">
        <v>0.55000000000000004</v>
      </c>
      <c r="D423" s="96">
        <v>0.45</v>
      </c>
      <c r="E423" s="95">
        <v>0.7</v>
      </c>
      <c r="F423" s="96">
        <v>0.3</v>
      </c>
      <c r="G423" s="95">
        <v>0.8</v>
      </c>
      <c r="H423" s="100">
        <v>0.2</v>
      </c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3"/>
    </row>
    <row r="424" spans="1:22" hidden="1" outlineLevel="1">
      <c r="B424" s="55" t="s">
        <v>19</v>
      </c>
      <c r="C424" s="95">
        <v>0.95</v>
      </c>
      <c r="D424" s="96">
        <v>0.05</v>
      </c>
      <c r="E424" s="97">
        <v>0.95</v>
      </c>
      <c r="F424" s="98">
        <v>0.05</v>
      </c>
      <c r="G424" s="97">
        <v>0.95</v>
      </c>
      <c r="H424" s="99">
        <v>0.05</v>
      </c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3"/>
    </row>
    <row r="425" spans="1:22" ht="17.149999999999999" hidden="1" customHeight="1" outlineLevel="1">
      <c r="B425" s="55" t="s">
        <v>20</v>
      </c>
      <c r="C425" s="95">
        <v>0.4</v>
      </c>
      <c r="D425" s="96">
        <v>0.6</v>
      </c>
      <c r="E425" s="95">
        <v>0.9</v>
      </c>
      <c r="F425" s="96">
        <v>0.1</v>
      </c>
      <c r="G425" s="101"/>
      <c r="H425" s="10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3"/>
    </row>
    <row r="426" spans="1:22" hidden="1" outlineLevel="1">
      <c r="B426" s="55" t="s">
        <v>21</v>
      </c>
      <c r="C426" s="95">
        <v>0.18</v>
      </c>
      <c r="D426" s="96">
        <v>0.82</v>
      </c>
      <c r="E426" s="95">
        <v>0.4</v>
      </c>
      <c r="F426" s="96">
        <v>0.6</v>
      </c>
      <c r="G426" s="101"/>
      <c r="H426" s="10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3"/>
    </row>
    <row r="427" spans="1:22" ht="16" hidden="1" outlineLevel="1" thickBot="1">
      <c r="B427" s="55" t="s">
        <v>22</v>
      </c>
      <c r="C427" s="103">
        <v>0.03</v>
      </c>
      <c r="D427" s="104">
        <v>0.97</v>
      </c>
      <c r="E427" s="103">
        <v>0.5</v>
      </c>
      <c r="F427" s="104">
        <v>0.5</v>
      </c>
      <c r="G427" s="103">
        <v>0.9</v>
      </c>
      <c r="H427" s="105">
        <v>0.1</v>
      </c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3"/>
    </row>
    <row r="428" spans="1:22" hidden="1" outlineLevel="1"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3"/>
    </row>
    <row r="429" spans="1:22" ht="16" hidden="1" customHeight="1" collapsed="1">
      <c r="A429" s="129" t="s">
        <v>359</v>
      </c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2"/>
    </row>
    <row r="430" spans="1:22" hidden="1" outlineLevel="1"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3"/>
    </row>
    <row r="431" spans="1:22" hidden="1" outlineLevel="1">
      <c r="C431" t="s">
        <v>360</v>
      </c>
      <c r="D431" t="s">
        <v>361</v>
      </c>
      <c r="E431" t="s">
        <v>362</v>
      </c>
      <c r="F431" t="s">
        <v>363</v>
      </c>
      <c r="G431" t="s">
        <v>364</v>
      </c>
      <c r="H431" t="s">
        <v>365</v>
      </c>
      <c r="I431" t="s">
        <v>366</v>
      </c>
      <c r="J431" t="s">
        <v>367</v>
      </c>
      <c r="K431" t="s">
        <v>368</v>
      </c>
      <c r="L431" s="2" t="s">
        <v>369</v>
      </c>
      <c r="M431" s="2" t="s">
        <v>370</v>
      </c>
      <c r="N431" s="2" t="s">
        <v>371</v>
      </c>
      <c r="O431" s="2"/>
      <c r="P431" s="2"/>
      <c r="Q431" s="2"/>
      <c r="R431" s="2"/>
      <c r="S431" s="2"/>
      <c r="T431" s="2"/>
      <c r="U431" s="2"/>
      <c r="V431" s="3"/>
    </row>
    <row r="432" spans="1:22" hidden="1" outlineLevel="1">
      <c r="B432" s="55" t="s">
        <v>6</v>
      </c>
      <c r="C432" s="77"/>
      <c r="D432" s="77"/>
      <c r="E432" s="77"/>
      <c r="F432" s="77"/>
      <c r="G432" s="77"/>
      <c r="H432" s="77"/>
      <c r="I432" s="78"/>
      <c r="J432" s="77"/>
      <c r="K432" s="190"/>
      <c r="L432" s="146"/>
      <c r="M432" s="147"/>
      <c r="N432" s="147"/>
      <c r="O432" s="2"/>
      <c r="P432" s="2"/>
      <c r="Q432" s="2"/>
      <c r="R432" s="2"/>
      <c r="S432" s="2"/>
      <c r="T432" s="2"/>
      <c r="U432" s="2"/>
      <c r="V432" s="3"/>
    </row>
    <row r="433" spans="2:22" hidden="1" outlineLevel="1">
      <c r="B433" s="55" t="s">
        <v>9</v>
      </c>
      <c r="C433" s="79"/>
      <c r="D433" s="79"/>
      <c r="E433" s="77"/>
      <c r="F433" s="77"/>
      <c r="G433" s="79"/>
      <c r="H433" s="79"/>
      <c r="I433" s="79"/>
      <c r="J433" s="79"/>
      <c r="K433" s="191"/>
      <c r="L433" s="146"/>
      <c r="M433" s="147"/>
      <c r="N433" s="147"/>
      <c r="O433" s="2"/>
      <c r="P433" s="2"/>
      <c r="Q433" s="2"/>
      <c r="R433" s="2"/>
      <c r="S433" s="2"/>
      <c r="T433" s="2"/>
      <c r="U433" s="2"/>
      <c r="V433" s="3"/>
    </row>
    <row r="434" spans="2:22" hidden="1" outlineLevel="1">
      <c r="B434" s="55" t="s">
        <v>11</v>
      </c>
      <c r="C434" s="79"/>
      <c r="D434" s="77"/>
      <c r="E434" s="77"/>
      <c r="F434" s="77"/>
      <c r="G434" s="77"/>
      <c r="H434" s="79"/>
      <c r="I434" s="78"/>
      <c r="J434" s="77"/>
      <c r="K434" s="190"/>
      <c r="L434" s="146"/>
      <c r="M434" s="147"/>
      <c r="N434" s="147"/>
      <c r="O434" s="2"/>
      <c r="P434" s="2"/>
      <c r="Q434" s="2"/>
      <c r="R434" s="2"/>
      <c r="S434" s="2"/>
      <c r="T434" s="2"/>
      <c r="U434" s="2"/>
      <c r="V434" s="3"/>
    </row>
    <row r="435" spans="2:22" hidden="1" outlineLevel="1">
      <c r="B435" s="55" t="s">
        <v>13</v>
      </c>
      <c r="C435" s="79"/>
      <c r="D435" s="77"/>
      <c r="E435" s="77"/>
      <c r="F435" s="77"/>
      <c r="G435" s="77"/>
      <c r="H435" s="78"/>
      <c r="I435" s="78"/>
      <c r="J435" s="77"/>
      <c r="K435" s="190"/>
      <c r="L435" s="146"/>
      <c r="M435" s="147"/>
      <c r="N435" s="147"/>
      <c r="O435" s="2"/>
      <c r="P435" s="2"/>
      <c r="Q435" s="2"/>
      <c r="R435" s="2"/>
      <c r="S435" s="2"/>
      <c r="T435" s="2"/>
      <c r="U435" s="2"/>
      <c r="V435" s="3"/>
    </row>
    <row r="436" spans="2:22" hidden="1" outlineLevel="1">
      <c r="B436" s="55" t="s">
        <v>15</v>
      </c>
      <c r="C436" s="77"/>
      <c r="D436" s="77"/>
      <c r="E436" s="77"/>
      <c r="F436" s="77"/>
      <c r="G436" s="77"/>
      <c r="H436" s="77"/>
      <c r="I436" s="77"/>
      <c r="J436" s="78"/>
      <c r="K436" s="190"/>
      <c r="L436" s="146"/>
      <c r="M436" s="147"/>
      <c r="N436" s="147"/>
      <c r="O436" s="2"/>
      <c r="P436" s="2"/>
      <c r="Q436" s="2"/>
      <c r="R436" s="2"/>
      <c r="S436" s="2"/>
      <c r="T436" s="2"/>
      <c r="U436" s="2"/>
      <c r="V436" s="3"/>
    </row>
    <row r="437" spans="2:22" hidden="1" outlineLevel="1">
      <c r="B437" s="55" t="s">
        <v>16</v>
      </c>
      <c r="C437" s="78"/>
      <c r="D437" s="78"/>
      <c r="E437" s="77"/>
      <c r="F437" s="79"/>
      <c r="G437" s="79"/>
      <c r="H437" s="77"/>
      <c r="I437" s="79"/>
      <c r="J437" s="79"/>
      <c r="K437" s="190"/>
      <c r="L437" s="146"/>
      <c r="M437" s="147"/>
      <c r="N437" s="147"/>
      <c r="O437" s="2"/>
      <c r="P437" s="2"/>
      <c r="Q437" s="2"/>
      <c r="R437" s="2"/>
      <c r="S437" s="2"/>
      <c r="T437" s="2"/>
      <c r="U437" s="2"/>
      <c r="V437" s="3"/>
    </row>
    <row r="438" spans="2:22" hidden="1" outlineLevel="1">
      <c r="B438" s="55" t="s">
        <v>17</v>
      </c>
      <c r="C438" s="77"/>
      <c r="D438" s="77"/>
      <c r="E438" s="77"/>
      <c r="F438" s="77"/>
      <c r="G438" s="79"/>
      <c r="H438" s="78"/>
      <c r="I438" s="78"/>
      <c r="J438" s="77"/>
      <c r="K438" s="191"/>
      <c r="L438" s="146"/>
      <c r="M438" s="147"/>
      <c r="N438" s="147"/>
      <c r="O438" s="2"/>
      <c r="P438" s="2"/>
      <c r="Q438" s="2"/>
      <c r="R438" s="2"/>
      <c r="S438" s="2"/>
      <c r="T438" s="2"/>
      <c r="U438" s="2"/>
      <c r="V438" s="3"/>
    </row>
    <row r="439" spans="2:22" hidden="1" outlineLevel="1">
      <c r="B439" s="55" t="s">
        <v>18</v>
      </c>
      <c r="C439" s="77"/>
      <c r="D439" s="77"/>
      <c r="E439" s="77"/>
      <c r="F439" s="77"/>
      <c r="G439" s="79"/>
      <c r="H439" s="79"/>
      <c r="I439" s="79"/>
      <c r="J439" s="79"/>
      <c r="K439" s="190"/>
      <c r="L439" s="146"/>
      <c r="M439" s="147"/>
      <c r="N439" s="147"/>
      <c r="O439" s="2"/>
      <c r="P439" s="2"/>
      <c r="Q439" s="2"/>
      <c r="R439" s="2"/>
      <c r="S439" s="2"/>
      <c r="T439" s="2"/>
      <c r="U439" s="2"/>
      <c r="V439" s="3"/>
    </row>
    <row r="440" spans="2:22" hidden="1" outlineLevel="1">
      <c r="B440" s="55" t="s">
        <v>19</v>
      </c>
      <c r="C440" s="79"/>
      <c r="D440" s="77"/>
      <c r="E440" s="77"/>
      <c r="F440" s="77"/>
      <c r="G440" s="79"/>
      <c r="H440" s="77"/>
      <c r="I440" s="78"/>
      <c r="J440" s="79"/>
      <c r="K440" s="191"/>
      <c r="L440" s="146"/>
      <c r="M440" s="147"/>
      <c r="N440" s="147"/>
      <c r="O440" s="2"/>
      <c r="P440" s="2"/>
      <c r="Q440" s="2"/>
      <c r="R440" s="2"/>
      <c r="S440" s="2"/>
      <c r="T440" s="2"/>
      <c r="U440" s="2"/>
      <c r="V440" s="3"/>
    </row>
    <row r="441" spans="2:22" ht="17.149999999999999" hidden="1" customHeight="1" outlineLevel="1">
      <c r="B441" s="55" t="s">
        <v>20</v>
      </c>
      <c r="C441" s="79"/>
      <c r="D441" s="77"/>
      <c r="E441" s="77"/>
      <c r="F441" s="78"/>
      <c r="G441" s="77"/>
      <c r="H441" s="79"/>
      <c r="I441" s="78"/>
      <c r="J441" s="77"/>
      <c r="K441" s="191"/>
      <c r="L441" s="146"/>
      <c r="M441" s="147"/>
      <c r="N441" s="147"/>
      <c r="O441" s="2"/>
      <c r="P441" s="2"/>
      <c r="Q441" s="2"/>
      <c r="R441" s="2"/>
      <c r="S441" s="2"/>
      <c r="T441" s="2"/>
      <c r="U441" s="2"/>
      <c r="V441" s="3"/>
    </row>
    <row r="442" spans="2:22" hidden="1" outlineLevel="1">
      <c r="B442" s="55" t="s">
        <v>21</v>
      </c>
      <c r="C442" s="77"/>
      <c r="D442" s="77"/>
      <c r="E442" s="77"/>
      <c r="F442" s="77"/>
      <c r="G442" s="77"/>
      <c r="H442" s="77"/>
      <c r="I442" s="79"/>
      <c r="J442" s="77"/>
      <c r="K442" s="190"/>
      <c r="L442" s="146"/>
      <c r="M442" s="147"/>
      <c r="N442" s="147"/>
      <c r="O442" s="2"/>
      <c r="P442" s="2"/>
      <c r="Q442" s="2"/>
      <c r="R442" s="2"/>
      <c r="S442" s="2"/>
      <c r="T442" s="2"/>
      <c r="U442" s="2"/>
      <c r="V442" s="3"/>
    </row>
    <row r="443" spans="2:22" hidden="1" outlineLevel="1">
      <c r="B443" s="55" t="s">
        <v>22</v>
      </c>
      <c r="C443" s="79"/>
      <c r="D443" s="79"/>
      <c r="E443" s="77"/>
      <c r="F443" s="79"/>
      <c r="G443" s="79"/>
      <c r="H443" s="78"/>
      <c r="I443" s="78"/>
      <c r="J443" s="77"/>
      <c r="K443" s="190"/>
      <c r="L443" s="146"/>
      <c r="M443" s="147"/>
      <c r="N443" s="147"/>
      <c r="O443" s="2"/>
      <c r="P443" s="2"/>
      <c r="Q443" s="2"/>
      <c r="R443" s="2"/>
      <c r="S443" s="2"/>
      <c r="T443" s="2"/>
      <c r="U443" s="2"/>
      <c r="V443" s="3"/>
    </row>
    <row r="444" spans="2:22" hidden="1" outlineLevel="1"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3"/>
    </row>
    <row r="445" spans="2:22" hidden="1" outlineLevel="1">
      <c r="B445" s="55" t="s">
        <v>372</v>
      </c>
      <c r="C445" s="130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3"/>
    </row>
    <row r="446" spans="2:22" hidden="1" outlineLevel="1">
      <c r="B446" s="55" t="s">
        <v>373</v>
      </c>
      <c r="C446" s="13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3"/>
    </row>
    <row r="447" spans="2:22" hidden="1" outlineLevel="1">
      <c r="B447" s="55" t="s">
        <v>322</v>
      </c>
      <c r="C447" s="13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3"/>
    </row>
    <row r="448" spans="2:22" hidden="1" outlineLevel="1"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3"/>
    </row>
    <row r="449" spans="1:22" ht="16" hidden="1" customHeight="1" collapsed="1">
      <c r="A449" s="129" t="s">
        <v>374</v>
      </c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2"/>
    </row>
    <row r="450" spans="1:22" s="133" customFormat="1" hidden="1" outlineLevel="1">
      <c r="B450" s="133" t="s">
        <v>317</v>
      </c>
      <c r="C450" s="133" t="s">
        <v>215</v>
      </c>
      <c r="D450" s="133" t="s">
        <v>217</v>
      </c>
      <c r="E450" s="133" t="s">
        <v>219</v>
      </c>
      <c r="F450" s="133" t="s">
        <v>221</v>
      </c>
      <c r="G450" s="133" t="s">
        <v>223</v>
      </c>
      <c r="L450" s="189"/>
      <c r="M450" s="189"/>
      <c r="N450" s="189"/>
      <c r="O450" s="189"/>
      <c r="P450" s="189"/>
      <c r="Q450" s="189"/>
      <c r="R450" s="189"/>
      <c r="S450" s="189"/>
      <c r="T450" s="189"/>
      <c r="U450" s="189"/>
      <c r="V450" s="211"/>
    </row>
    <row r="451" spans="1:22" hidden="1" outlineLevel="1">
      <c r="B451" s="55" t="s">
        <v>6</v>
      </c>
      <c r="C451" s="135"/>
      <c r="D451" s="135"/>
      <c r="E451" s="135"/>
      <c r="F451" s="135"/>
      <c r="G451" s="135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3"/>
    </row>
    <row r="452" spans="1:22" hidden="1" outlineLevel="1">
      <c r="B452" s="55" t="s">
        <v>9</v>
      </c>
      <c r="C452" s="135"/>
      <c r="D452" s="135"/>
      <c r="E452" s="135"/>
      <c r="F452" s="135"/>
      <c r="G452" s="135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3"/>
    </row>
    <row r="453" spans="1:22" hidden="1" outlineLevel="1">
      <c r="B453" s="55" t="s">
        <v>11</v>
      </c>
      <c r="C453" s="135"/>
      <c r="D453" s="135"/>
      <c r="E453" s="135"/>
      <c r="F453" s="135"/>
      <c r="G453" s="135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3"/>
    </row>
    <row r="454" spans="1:22" hidden="1" outlineLevel="1">
      <c r="B454" s="55" t="s">
        <v>13</v>
      </c>
      <c r="C454" s="135"/>
      <c r="D454" s="135"/>
      <c r="E454" s="135"/>
      <c r="F454" s="135"/>
      <c r="G454" s="135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3"/>
    </row>
    <row r="455" spans="1:22" hidden="1" outlineLevel="1">
      <c r="B455" s="55" t="s">
        <v>15</v>
      </c>
      <c r="C455" s="135"/>
      <c r="D455" s="135"/>
      <c r="E455" s="135"/>
      <c r="F455" s="135"/>
      <c r="G455" s="135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3"/>
    </row>
    <row r="456" spans="1:22" hidden="1" outlineLevel="1">
      <c r="B456" s="55" t="s">
        <v>16</v>
      </c>
      <c r="C456" s="135"/>
      <c r="D456" s="135"/>
      <c r="E456" s="135"/>
      <c r="F456" s="135"/>
      <c r="G456" s="135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3"/>
    </row>
    <row r="457" spans="1:22" hidden="1" outlineLevel="1">
      <c r="B457" s="55" t="s">
        <v>17</v>
      </c>
      <c r="C457" s="135"/>
      <c r="D457" s="135"/>
      <c r="E457" s="135"/>
      <c r="F457" s="135"/>
      <c r="G457" s="135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3"/>
    </row>
    <row r="458" spans="1:22" hidden="1" outlineLevel="1">
      <c r="B458" s="55" t="s">
        <v>18</v>
      </c>
      <c r="C458" s="135"/>
      <c r="D458" s="135"/>
      <c r="E458" s="135"/>
      <c r="F458" s="135"/>
      <c r="G458" s="135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3"/>
    </row>
    <row r="459" spans="1:22" hidden="1" outlineLevel="1">
      <c r="B459" s="55" t="s">
        <v>19</v>
      </c>
      <c r="C459" s="135"/>
      <c r="D459" s="135"/>
      <c r="E459" s="135"/>
      <c r="F459" s="135"/>
      <c r="G459" s="135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3"/>
    </row>
    <row r="460" spans="1:22" hidden="1" outlineLevel="1">
      <c r="B460" s="55" t="s">
        <v>20</v>
      </c>
      <c r="C460" s="135"/>
      <c r="D460" s="135"/>
      <c r="E460" s="135"/>
      <c r="F460" s="135"/>
      <c r="G460" s="135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3"/>
    </row>
    <row r="461" spans="1:22" hidden="1" outlineLevel="1">
      <c r="B461" s="55" t="s">
        <v>21</v>
      </c>
      <c r="C461" s="135"/>
      <c r="D461" s="135"/>
      <c r="E461" s="135"/>
      <c r="F461" s="135"/>
      <c r="G461" s="135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3"/>
    </row>
    <row r="462" spans="1:22" hidden="1" outlineLevel="1">
      <c r="B462" s="55" t="s">
        <v>22</v>
      </c>
      <c r="C462" s="135"/>
      <c r="D462" s="135"/>
      <c r="E462" s="135"/>
      <c r="F462" s="135"/>
      <c r="G462" s="135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3"/>
    </row>
    <row r="463" spans="1:22" hidden="1" outlineLevel="1"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3"/>
    </row>
    <row r="464" spans="1:22" hidden="1" outlineLevel="1">
      <c r="B464" s="133" t="s">
        <v>375</v>
      </c>
      <c r="C464" s="133" t="s">
        <v>206</v>
      </c>
      <c r="D464" s="133" t="s">
        <v>207</v>
      </c>
      <c r="E464" s="133" t="s">
        <v>208</v>
      </c>
      <c r="F464" s="133" t="s">
        <v>209</v>
      </c>
      <c r="G464" s="133" t="s">
        <v>210</v>
      </c>
      <c r="H464" s="133" t="s">
        <v>211</v>
      </c>
      <c r="I464" s="133" t="s">
        <v>212</v>
      </c>
      <c r="J464" s="133" t="s">
        <v>213</v>
      </c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3"/>
    </row>
    <row r="465" spans="2:22" hidden="1" outlineLevel="1">
      <c r="B465" s="55" t="s">
        <v>6</v>
      </c>
      <c r="C465" s="135"/>
      <c r="D465" s="135"/>
      <c r="E465" s="135"/>
      <c r="F465" s="135"/>
      <c r="G465" s="135"/>
      <c r="H465" s="135"/>
      <c r="I465" s="135"/>
      <c r="J465" s="135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3"/>
    </row>
    <row r="466" spans="2:22" hidden="1" outlineLevel="1">
      <c r="B466" s="55" t="s">
        <v>9</v>
      </c>
      <c r="C466" s="136"/>
      <c r="D466" s="135"/>
      <c r="E466" s="135"/>
      <c r="F466" s="135"/>
      <c r="G466" s="135"/>
      <c r="H466" s="135"/>
      <c r="I466" s="135"/>
      <c r="J466" s="135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3"/>
    </row>
    <row r="467" spans="2:22" hidden="1" outlineLevel="1">
      <c r="B467" s="55" t="s">
        <v>11</v>
      </c>
      <c r="C467" s="136"/>
      <c r="D467" s="135"/>
      <c r="E467" s="135"/>
      <c r="F467" s="135"/>
      <c r="G467" s="135"/>
      <c r="H467" s="135"/>
      <c r="I467" s="135"/>
      <c r="J467" s="137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3"/>
    </row>
    <row r="468" spans="2:22" hidden="1" outlineLevel="1">
      <c r="B468" s="55" t="s">
        <v>13</v>
      </c>
      <c r="C468" s="136"/>
      <c r="D468" s="137"/>
      <c r="E468" s="137"/>
      <c r="F468" s="137"/>
      <c r="G468" s="135"/>
      <c r="H468" s="138"/>
      <c r="I468" s="138"/>
      <c r="J468" s="136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3"/>
    </row>
    <row r="469" spans="2:22" hidden="1" outlineLevel="1">
      <c r="B469" s="55" t="s">
        <v>15</v>
      </c>
      <c r="C469" s="139"/>
      <c r="D469" s="139"/>
      <c r="E469" s="135"/>
      <c r="F469" s="135"/>
      <c r="G469" s="139"/>
      <c r="H469" s="139"/>
      <c r="I469" s="137"/>
      <c r="J469" s="137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3"/>
    </row>
    <row r="470" spans="2:22" hidden="1" outlineLevel="1">
      <c r="B470" s="55" t="s">
        <v>16</v>
      </c>
      <c r="C470" s="136"/>
      <c r="D470" s="139"/>
      <c r="E470" s="139"/>
      <c r="F470" s="139"/>
      <c r="G470" s="135"/>
      <c r="H470" s="135"/>
      <c r="I470" s="139"/>
      <c r="J470" s="135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3"/>
    </row>
    <row r="471" spans="2:22" hidden="1" outlineLevel="1">
      <c r="B471" s="55" t="s">
        <v>17</v>
      </c>
      <c r="C471" s="137"/>
      <c r="D471" s="135"/>
      <c r="E471" s="139"/>
      <c r="F471" s="135"/>
      <c r="G471" s="135"/>
      <c r="H471" s="138"/>
      <c r="I471" s="138"/>
      <c r="J471" s="137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3"/>
    </row>
    <row r="472" spans="2:22" hidden="1" outlineLevel="1">
      <c r="B472" s="55" t="s">
        <v>18</v>
      </c>
      <c r="C472" s="139"/>
      <c r="D472" s="137"/>
      <c r="E472" s="137"/>
      <c r="F472" s="139"/>
      <c r="G472" s="139"/>
      <c r="H472" s="137"/>
      <c r="I472" s="137"/>
      <c r="J472" s="139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3"/>
    </row>
    <row r="473" spans="2:22" hidden="1" outlineLevel="1">
      <c r="B473" s="55" t="s">
        <v>19</v>
      </c>
      <c r="C473" s="137"/>
      <c r="D473" s="135"/>
      <c r="E473" s="135"/>
      <c r="F473" s="135"/>
      <c r="G473" s="135"/>
      <c r="H473" s="139"/>
      <c r="I473" s="139"/>
      <c r="J473" s="135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3"/>
    </row>
    <row r="474" spans="2:22" hidden="1" outlineLevel="1">
      <c r="B474" s="55" t="s">
        <v>20</v>
      </c>
      <c r="C474" s="136"/>
      <c r="D474" s="135"/>
      <c r="E474" s="135"/>
      <c r="F474" s="135"/>
      <c r="G474" s="135"/>
      <c r="H474" s="135"/>
      <c r="I474" s="135"/>
      <c r="J474" s="135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3"/>
    </row>
    <row r="475" spans="2:22" hidden="1" outlineLevel="1">
      <c r="B475" s="55" t="s">
        <v>21</v>
      </c>
      <c r="C475" s="135"/>
      <c r="D475" s="135"/>
      <c r="E475" s="135"/>
      <c r="F475" s="135"/>
      <c r="G475" s="135"/>
      <c r="H475" s="135"/>
      <c r="I475" s="135"/>
      <c r="J475" s="135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3"/>
    </row>
    <row r="476" spans="2:22" hidden="1" outlineLevel="1">
      <c r="B476" s="55" t="s">
        <v>22</v>
      </c>
      <c r="C476" s="136"/>
      <c r="D476" s="139"/>
      <c r="E476" s="135"/>
      <c r="F476" s="135"/>
      <c r="G476" s="135"/>
      <c r="H476" s="135"/>
      <c r="I476" s="135"/>
      <c r="J476" s="135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3"/>
    </row>
    <row r="477" spans="2:22" hidden="1" outlineLevel="1"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3"/>
    </row>
    <row r="478" spans="2:22" collapsed="1">
      <c r="B478" s="55" t="s">
        <v>376</v>
      </c>
      <c r="C478">
        <v>6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1</v>
      </c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3"/>
    </row>
    <row r="479" spans="2:22">
      <c r="B479" s="55" t="s">
        <v>377</v>
      </c>
      <c r="C479">
        <v>2</v>
      </c>
      <c r="D479">
        <v>7</v>
      </c>
      <c r="E479">
        <v>8</v>
      </c>
      <c r="F479">
        <v>9</v>
      </c>
      <c r="G479">
        <v>10</v>
      </c>
      <c r="H479">
        <v>7</v>
      </c>
      <c r="I479">
        <v>6</v>
      </c>
      <c r="J479">
        <v>7</v>
      </c>
    </row>
    <row r="480" spans="2:22">
      <c r="B480" s="55" t="s">
        <v>378</v>
      </c>
      <c r="C480">
        <v>2</v>
      </c>
      <c r="D480">
        <v>3</v>
      </c>
      <c r="E480">
        <v>2</v>
      </c>
      <c r="F480">
        <v>2</v>
      </c>
      <c r="G480">
        <v>2</v>
      </c>
      <c r="H480">
        <v>4</v>
      </c>
      <c r="I480">
        <v>4</v>
      </c>
      <c r="J480">
        <v>1</v>
      </c>
    </row>
    <row r="481" spans="2:10">
      <c r="B481" s="55" t="s">
        <v>379</v>
      </c>
      <c r="C481">
        <v>2</v>
      </c>
      <c r="D481">
        <v>2</v>
      </c>
      <c r="E481">
        <v>2</v>
      </c>
      <c r="F481">
        <v>1</v>
      </c>
      <c r="G481">
        <v>0</v>
      </c>
      <c r="H481">
        <v>1</v>
      </c>
      <c r="I481">
        <v>2</v>
      </c>
      <c r="J481">
        <v>3</v>
      </c>
    </row>
    <row r="482" spans="2:10">
      <c r="C482">
        <f>SUM(C478:C481)</f>
        <v>12</v>
      </c>
      <c r="D482">
        <f t="shared" ref="D482:J482" si="205">SUM(D478:D481)</f>
        <v>12</v>
      </c>
      <c r="E482">
        <f t="shared" si="205"/>
        <v>12</v>
      </c>
      <c r="F482">
        <f t="shared" si="205"/>
        <v>12</v>
      </c>
      <c r="G482">
        <f t="shared" si="205"/>
        <v>12</v>
      </c>
      <c r="H482">
        <f t="shared" si="205"/>
        <v>12</v>
      </c>
      <c r="I482">
        <f t="shared" si="205"/>
        <v>12</v>
      </c>
      <c r="J482">
        <f t="shared" si="205"/>
        <v>12</v>
      </c>
    </row>
    <row r="483" spans="2:10">
      <c r="B483" s="55" t="s">
        <v>376</v>
      </c>
      <c r="C483" s="217">
        <f>C478/$C$482</f>
        <v>0.5</v>
      </c>
      <c r="D483" s="217">
        <f t="shared" ref="D483:J483" si="206">D478/$C$482</f>
        <v>0</v>
      </c>
      <c r="E483" s="217">
        <f t="shared" si="206"/>
        <v>0</v>
      </c>
      <c r="F483" s="217">
        <f t="shared" si="206"/>
        <v>0</v>
      </c>
      <c r="G483" s="217">
        <f t="shared" si="206"/>
        <v>0</v>
      </c>
      <c r="H483" s="217">
        <f t="shared" si="206"/>
        <v>0</v>
      </c>
      <c r="I483" s="217">
        <f t="shared" si="206"/>
        <v>0</v>
      </c>
      <c r="J483" s="217">
        <f t="shared" si="206"/>
        <v>8.3333333333333329E-2</v>
      </c>
    </row>
    <row r="484" spans="2:10">
      <c r="B484" s="55" t="s">
        <v>377</v>
      </c>
      <c r="C484" s="217">
        <f t="shared" ref="C484:J486" si="207">C479/$C$482</f>
        <v>0.16666666666666666</v>
      </c>
      <c r="D484" s="217">
        <f t="shared" si="207"/>
        <v>0.58333333333333337</v>
      </c>
      <c r="E484" s="217">
        <f t="shared" si="207"/>
        <v>0.66666666666666663</v>
      </c>
      <c r="F484" s="217">
        <f t="shared" si="207"/>
        <v>0.75</v>
      </c>
      <c r="G484" s="217">
        <f t="shared" si="207"/>
        <v>0.83333333333333337</v>
      </c>
      <c r="H484" s="217">
        <f t="shared" si="207"/>
        <v>0.58333333333333337</v>
      </c>
      <c r="I484" s="217">
        <f t="shared" si="207"/>
        <v>0.5</v>
      </c>
      <c r="J484" s="217">
        <f t="shared" si="207"/>
        <v>0.58333333333333337</v>
      </c>
    </row>
    <row r="485" spans="2:10">
      <c r="B485" s="55" t="s">
        <v>378</v>
      </c>
      <c r="C485" s="217">
        <f t="shared" si="207"/>
        <v>0.16666666666666666</v>
      </c>
      <c r="D485" s="217">
        <f t="shared" si="207"/>
        <v>0.25</v>
      </c>
      <c r="E485" s="217">
        <f t="shared" si="207"/>
        <v>0.16666666666666666</v>
      </c>
      <c r="F485" s="217">
        <f t="shared" si="207"/>
        <v>0.16666666666666666</v>
      </c>
      <c r="G485" s="217">
        <f t="shared" si="207"/>
        <v>0.16666666666666666</v>
      </c>
      <c r="H485" s="217">
        <f t="shared" si="207"/>
        <v>0.33333333333333331</v>
      </c>
      <c r="I485" s="217">
        <f t="shared" si="207"/>
        <v>0.33333333333333331</v>
      </c>
      <c r="J485" s="217">
        <f t="shared" si="207"/>
        <v>8.3333333333333329E-2</v>
      </c>
    </row>
    <row r="486" spans="2:10">
      <c r="B486" s="55" t="s">
        <v>379</v>
      </c>
      <c r="C486" s="217">
        <f t="shared" si="207"/>
        <v>0.16666666666666666</v>
      </c>
      <c r="D486" s="217">
        <f t="shared" si="207"/>
        <v>0.16666666666666666</v>
      </c>
      <c r="E486" s="217">
        <f t="shared" si="207"/>
        <v>0.16666666666666666</v>
      </c>
      <c r="F486" s="217">
        <f t="shared" si="207"/>
        <v>8.3333333333333329E-2</v>
      </c>
      <c r="G486" s="217">
        <f t="shared" si="207"/>
        <v>0</v>
      </c>
      <c r="H486" s="217">
        <f t="shared" si="207"/>
        <v>8.3333333333333329E-2</v>
      </c>
      <c r="I486" s="217">
        <f t="shared" si="207"/>
        <v>0.16666666666666666</v>
      </c>
      <c r="J486" s="217">
        <f t="shared" si="207"/>
        <v>0.25</v>
      </c>
    </row>
  </sheetData>
  <mergeCells count="17">
    <mergeCell ref="D17:E17"/>
    <mergeCell ref="C94:D94"/>
    <mergeCell ref="H95:M95"/>
    <mergeCell ref="H107:M107"/>
    <mergeCell ref="F94:M94"/>
    <mergeCell ref="H96:M96"/>
    <mergeCell ref="H97:M97"/>
    <mergeCell ref="H98:M98"/>
    <mergeCell ref="H99:M99"/>
    <mergeCell ref="H100:M100"/>
    <mergeCell ref="L109:M109"/>
    <mergeCell ref="H102:M102"/>
    <mergeCell ref="H101:M101"/>
    <mergeCell ref="H103:M103"/>
    <mergeCell ref="H105:M105"/>
    <mergeCell ref="H104:M104"/>
    <mergeCell ref="H106:M106"/>
  </mergeCells>
  <conditionalFormatting sqref="C333:H345"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{136D0723-473A-4641-A1BA-3F5950547F31}</x14:id>
        </ext>
      </extLst>
    </cfRule>
  </conditionalFormatting>
  <conditionalFormatting sqref="C368:H379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{739FC1AA-AAEE-7A47-AE95-3CAA56A116EA}</x14:id>
        </ext>
      </extLst>
    </cfRule>
  </conditionalFormatting>
  <conditionalFormatting sqref="I368:N379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{05F7F3F0-F7A7-EE40-9A17-FF4F254D5F86}</x14:id>
        </ext>
      </extLst>
    </cfRule>
  </conditionalFormatting>
  <conditionalFormatting sqref="O368:T379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{34F3845A-6925-8E4A-BBD4-074E12BC6474}</x14:id>
        </ext>
      </extLst>
    </cfRule>
  </conditionalFormatting>
  <conditionalFormatting sqref="U368:Z379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{3E2B8C8A-E63E-9B40-9C6D-9972C8971714}</x14:id>
        </ext>
      </extLst>
    </cfRule>
  </conditionalFormatting>
  <conditionalFormatting sqref="C384:F395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{8E4C7380-0C2F-DA47-A1F6-3C2406C2B2C4}</x14:id>
        </ext>
      </extLst>
    </cfRule>
  </conditionalFormatting>
  <conditionalFormatting sqref="G384:J391 G393:J395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{EE5F445C-659F-2643-A419-BF61F8CC9D90}</x14:id>
        </ext>
      </extLst>
    </cfRule>
  </conditionalFormatting>
  <conditionalFormatting sqref="K384:N391 K393:N395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{70318155-B679-8444-A722-4EC128774CC9}</x14:id>
        </ext>
      </extLst>
    </cfRule>
  </conditionalFormatting>
  <conditionalFormatting sqref="G392:J392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{9EA47B56-AED0-BA43-8FBE-A1436CC8CA76}</x14:id>
        </ext>
      </extLst>
    </cfRule>
  </conditionalFormatting>
  <conditionalFormatting sqref="K392:N392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{6E40426F-D62B-8D4A-9D91-5A4727F1476C}</x14:id>
        </ext>
      </extLst>
    </cfRule>
  </conditionalFormatting>
  <conditionalFormatting sqref="C416:H427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{B6C89BA4-4840-6843-B4DE-9844600D1E90}</x14:id>
        </ext>
      </extLst>
    </cfRule>
  </conditionalFormatting>
  <conditionalFormatting sqref="C349:H360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{D3AD397D-25C2-B645-A1F9-053D69626993}</x14:id>
        </ext>
      </extLst>
    </cfRule>
  </conditionalFormatting>
  <conditionalFormatting sqref="Q43:Q48">
    <cfRule type="top10" dxfId="3" priority="5" percent="1" rank="10"/>
  </conditionalFormatting>
  <conditionalFormatting sqref="Q43:Q47">
    <cfRule type="top10" dxfId="2" priority="4" percent="1" bottom="1" rank="10"/>
  </conditionalFormatting>
  <conditionalFormatting sqref="I48:P48">
    <cfRule type="top10" dxfId="1" priority="1" percent="1" bottom="1" rank="20"/>
    <cfRule type="top10" dxfId="0" priority="2" percent="1" rank="20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6D0723-473A-4641-A1BA-3F5950547F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C333:H345</xm:sqref>
        </x14:conditionalFormatting>
        <x14:conditionalFormatting xmlns:xm="http://schemas.microsoft.com/office/excel/2006/main">
          <x14:cfRule type="dataBar" id="{739FC1AA-AAEE-7A47-AE95-3CAA56A116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C368:H379</xm:sqref>
        </x14:conditionalFormatting>
        <x14:conditionalFormatting xmlns:xm="http://schemas.microsoft.com/office/excel/2006/main">
          <x14:cfRule type="dataBar" id="{05F7F3F0-F7A7-EE40-9A17-FF4F254D5F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I368:N379</xm:sqref>
        </x14:conditionalFormatting>
        <x14:conditionalFormatting xmlns:xm="http://schemas.microsoft.com/office/excel/2006/main">
          <x14:cfRule type="dataBar" id="{34F3845A-6925-8E4A-BBD4-074E12BC64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O368:T379</xm:sqref>
        </x14:conditionalFormatting>
        <x14:conditionalFormatting xmlns:xm="http://schemas.microsoft.com/office/excel/2006/main">
          <x14:cfRule type="dataBar" id="{3E2B8C8A-E63E-9B40-9C6D-9972C89717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U368:Z379</xm:sqref>
        </x14:conditionalFormatting>
        <x14:conditionalFormatting xmlns:xm="http://schemas.microsoft.com/office/excel/2006/main">
          <x14:cfRule type="dataBar" id="{8E4C7380-0C2F-DA47-A1F6-3C2406C2B2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C384:F395</xm:sqref>
        </x14:conditionalFormatting>
        <x14:conditionalFormatting xmlns:xm="http://schemas.microsoft.com/office/excel/2006/main">
          <x14:cfRule type="dataBar" id="{EE5F445C-659F-2643-A419-BF61F8CC9D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G384:J391 G393:J395</xm:sqref>
        </x14:conditionalFormatting>
        <x14:conditionalFormatting xmlns:xm="http://schemas.microsoft.com/office/excel/2006/main">
          <x14:cfRule type="dataBar" id="{70318155-B679-8444-A722-4EC128774C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K384:N391 K393:N395</xm:sqref>
        </x14:conditionalFormatting>
        <x14:conditionalFormatting xmlns:xm="http://schemas.microsoft.com/office/excel/2006/main">
          <x14:cfRule type="dataBar" id="{9EA47B56-AED0-BA43-8FBE-A1436CC8CA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G392:J392</xm:sqref>
        </x14:conditionalFormatting>
        <x14:conditionalFormatting xmlns:xm="http://schemas.microsoft.com/office/excel/2006/main">
          <x14:cfRule type="dataBar" id="{6E40426F-D62B-8D4A-9D91-5A4727F147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K392:N392</xm:sqref>
        </x14:conditionalFormatting>
        <x14:conditionalFormatting xmlns:xm="http://schemas.microsoft.com/office/excel/2006/main">
          <x14:cfRule type="dataBar" id="{B6C89BA4-4840-6843-B4DE-9844600D1E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C416:H427</xm:sqref>
        </x14:conditionalFormatting>
        <x14:conditionalFormatting xmlns:xm="http://schemas.microsoft.com/office/excel/2006/main">
          <x14:cfRule type="dataBar" id="{D3AD397D-25C2-B645-A1F9-053D696269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C349:H360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404266EA431EA4DB51B00A92D8DB442" ma:contentTypeVersion="1" ma:contentTypeDescription="Luo uusi asiakirja." ma:contentTypeScope="" ma:versionID="b3c59536f6ab0cc784d497a6601bf6cc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74878E-DE65-4602-8675-44392EAF9F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E9C0FF-A90F-4D07-A3E6-A431D51ACA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DA6A71-7994-48DE-8D75-E8CAD7655B9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Tilaohjelma</vt:lpstr>
      <vt:lpstr>Palvelupisteiden taustalaskenta</vt:lpstr>
      <vt:lpstr>Tilaohjelma!Tulostusalue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Yhteisten työympäristöjen ohjeellinen tilaohjelma</dc:title>
  <dc:subject/>
  <dc:creator>Mikko Virtaneva</dc:creator>
  <cp:keywords/>
  <dc:description/>
  <cp:lastModifiedBy>Silvast Pirjetta (VM)</cp:lastModifiedBy>
  <cp:revision/>
  <dcterms:created xsi:type="dcterms:W3CDTF">2022-03-11T07:26:24Z</dcterms:created>
  <dcterms:modified xsi:type="dcterms:W3CDTF">2022-06-10T03:38:00Z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0x0101000404266EA431EA4DB51B00A92D8DB442</vt:lpwstr>
  </property>
</Properties>
</file>